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I:\Onicon Sales\FORMS-ORDER\"/>
    </mc:Choice>
  </mc:AlternateContent>
  <xr:revisionPtr revIDLastSave="0" documentId="13_ncr:1_{B09B722E-B2A7-470E-9A80-368422016ABB}" xr6:coauthVersionLast="45" xr6:coauthVersionMax="45" xr10:uidLastSave="{00000000-0000-0000-0000-000000000000}"/>
  <workbookProtection workbookAlgorithmName="SHA-512" workbookHashValue="TN0PejwygSV6nOr+NyYZ7NtTcs9Vt2eI5p5YGDORyQoXxw2Y9TS+Wo8lbNicrZhYjrwJ9bXXBuXmhKSCtSW5EQ==" workbookSaltValue="dxQ2xeoNVP4z/2wzyZl3Rg==" workbookSpinCount="100000" lockStructure="1"/>
  <bookViews>
    <workbookView xWindow="20370" yWindow="-4665" windowWidth="29040" windowHeight="15840" xr2:uid="{00000000-000D-0000-FFFF-FFFF00000000}"/>
  </bookViews>
  <sheets>
    <sheet name="Model Selection" sheetId="1" r:id="rId1"/>
    <sheet name="Application Data" sheetId="5" r:id="rId2"/>
    <sheet name="Factory" sheetId="6" r:id="rId3"/>
    <sheet name="Reference" sheetId="2" state="hidden" r:id="rId4"/>
    <sheet name="Part Number Lookup" sheetId="4" state="hidden" r:id="rId5"/>
    <sheet name="App Code Lookup" sheetId="7" state="hidden" r:id="rId6"/>
  </sheets>
  <definedNames>
    <definedName name="_xlnm.Print_Area" localSheetId="1">'Application Data'!$B$2:$P$34</definedName>
    <definedName name="_xlnm.Print_Area" localSheetId="2">Factory!$B$2:$H$29</definedName>
    <definedName name="_xlnm.Print_Area" localSheetId="0">'Model Selection'!$B$2:$N$34</definedName>
    <definedName name="TEST">Reference!$I$2:$I$5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" l="1"/>
  <c r="M13" i="1"/>
  <c r="M14" i="1"/>
  <c r="F30" i="7" l="1"/>
  <c r="D30" i="7"/>
  <c r="F29" i="7"/>
  <c r="D29" i="7"/>
  <c r="F28" i="7"/>
  <c r="D28" i="7"/>
  <c r="F27" i="7"/>
  <c r="D27" i="7"/>
  <c r="F26" i="7"/>
  <c r="D26" i="7"/>
  <c r="F25" i="7"/>
  <c r="D25" i="7"/>
  <c r="F24" i="7"/>
  <c r="D24" i="7"/>
  <c r="F23" i="7"/>
  <c r="D23" i="7"/>
  <c r="F22" i="7"/>
  <c r="D22" i="7"/>
  <c r="F21" i="7"/>
  <c r="D21" i="7"/>
  <c r="F20" i="7"/>
  <c r="D20" i="7"/>
  <c r="F19" i="7"/>
  <c r="D19" i="7"/>
  <c r="F15" i="7"/>
  <c r="D15" i="7"/>
  <c r="F14" i="7"/>
  <c r="D14" i="7"/>
  <c r="F13" i="7"/>
  <c r="D13" i="7"/>
  <c r="F12" i="7"/>
  <c r="D12" i="7"/>
  <c r="F11" i="7"/>
  <c r="D11" i="7"/>
  <c r="F10" i="7"/>
  <c r="D10" i="7"/>
  <c r="F9" i="7"/>
  <c r="D9" i="7"/>
  <c r="F8" i="7"/>
  <c r="D8" i="7"/>
  <c r="F7" i="7"/>
  <c r="D7" i="7"/>
  <c r="F6" i="7"/>
  <c r="D6" i="7"/>
  <c r="F5" i="7"/>
  <c r="D5" i="7"/>
  <c r="F4" i="7"/>
  <c r="D4" i="7"/>
  <c r="H14" i="6" l="1"/>
  <c r="H15" i="6" l="1"/>
  <c r="H16" i="6"/>
  <c r="M15" i="1"/>
  <c r="H17" i="6" s="1"/>
  <c r="M16" i="1"/>
  <c r="H18" i="6" s="1"/>
  <c r="M17" i="1"/>
  <c r="H19" i="6" s="1"/>
  <c r="M18" i="1"/>
  <c r="H20" i="6" s="1"/>
  <c r="M19" i="1"/>
  <c r="H21" i="6" s="1"/>
  <c r="M20" i="1"/>
  <c r="H22" i="6" s="1"/>
  <c r="M21" i="1"/>
  <c r="H23" i="6" s="1"/>
  <c r="I20" i="5"/>
  <c r="I15" i="5" l="1"/>
  <c r="N19" i="5" l="1"/>
  <c r="I16" i="5" l="1"/>
  <c r="I17" i="5"/>
  <c r="I18" i="5"/>
  <c r="I19" i="5"/>
  <c r="I21" i="5"/>
  <c r="N15" i="5" l="1"/>
  <c r="N16" i="5"/>
  <c r="N17" i="5"/>
  <c r="N18" i="5"/>
  <c r="N20" i="5"/>
  <c r="N21" i="5"/>
  <c r="O15" i="5"/>
  <c r="O16" i="5"/>
  <c r="O17" i="5"/>
  <c r="O18" i="5"/>
  <c r="O19" i="5"/>
  <c r="O20" i="5"/>
  <c r="O21" i="5"/>
  <c r="W21" i="2" l="1"/>
  <c r="D21" i="2"/>
  <c r="J21" i="2"/>
  <c r="P21" i="2"/>
  <c r="R21" i="2"/>
  <c r="U21" i="2"/>
  <c r="P20" i="2"/>
  <c r="D20" i="2"/>
  <c r="R20" i="2"/>
  <c r="J20" i="2"/>
  <c r="G7" i="6"/>
  <c r="G8" i="6"/>
  <c r="G9" i="6"/>
  <c r="G10" i="6"/>
  <c r="G6" i="6"/>
  <c r="D7" i="6"/>
  <c r="D8" i="6"/>
  <c r="D9" i="6"/>
  <c r="D10" i="6"/>
  <c r="D6" i="6"/>
  <c r="G8" i="5"/>
  <c r="G9" i="5"/>
  <c r="G5" i="5"/>
  <c r="G6" i="5"/>
  <c r="G7" i="5"/>
  <c r="G4" i="5"/>
  <c r="G11" i="6"/>
  <c r="F10" i="6"/>
  <c r="G9" i="1"/>
  <c r="F9" i="5" s="1"/>
  <c r="F8" i="5"/>
  <c r="D22" i="2"/>
  <c r="D23" i="2"/>
  <c r="D24" i="2"/>
  <c r="D25" i="2"/>
  <c r="D26" i="2"/>
  <c r="D27" i="2"/>
  <c r="D28" i="2"/>
  <c r="D29" i="2"/>
  <c r="E23" i="6"/>
  <c r="E22" i="6"/>
  <c r="E21" i="6"/>
  <c r="E20" i="6"/>
  <c r="E19" i="6"/>
  <c r="E18" i="6"/>
  <c r="E17" i="6"/>
  <c r="E16" i="6"/>
  <c r="U22" i="2"/>
  <c r="U23" i="2"/>
  <c r="U24" i="2"/>
  <c r="U25" i="2"/>
  <c r="U26" i="2"/>
  <c r="U27" i="2"/>
  <c r="U28" i="2"/>
  <c r="U29" i="2"/>
  <c r="U20" i="2"/>
  <c r="D5" i="5"/>
  <c r="D6" i="5"/>
  <c r="D7" i="5"/>
  <c r="D8" i="5"/>
  <c r="D4" i="5"/>
  <c r="L16" i="1"/>
  <c r="L17" i="1"/>
  <c r="L18" i="1"/>
  <c r="L19" i="1"/>
  <c r="W22" i="2"/>
  <c r="W23" i="2"/>
  <c r="W24" i="2"/>
  <c r="W25" i="2"/>
  <c r="W26" i="2"/>
  <c r="W27" i="2"/>
  <c r="W28" i="2"/>
  <c r="W29" i="2"/>
  <c r="R22" i="2"/>
  <c r="R23" i="2"/>
  <c r="R24" i="2"/>
  <c r="R25" i="2"/>
  <c r="R26" i="2"/>
  <c r="R27" i="2"/>
  <c r="R28" i="2"/>
  <c r="R29" i="2"/>
  <c r="P22" i="2"/>
  <c r="P23" i="2"/>
  <c r="P24" i="2"/>
  <c r="P25" i="2"/>
  <c r="P26" i="2"/>
  <c r="P27" i="2"/>
  <c r="P28" i="2"/>
  <c r="P29" i="2"/>
  <c r="N21" i="2"/>
  <c r="N22" i="2"/>
  <c r="N23" i="2"/>
  <c r="N24" i="2"/>
  <c r="N25" i="2"/>
  <c r="N26" i="2"/>
  <c r="N27" i="2"/>
  <c r="N28" i="2"/>
  <c r="N29" i="2"/>
  <c r="L21" i="2"/>
  <c r="L22" i="2"/>
  <c r="L23" i="2"/>
  <c r="L24" i="2"/>
  <c r="L25" i="2"/>
  <c r="L26" i="2"/>
  <c r="L27" i="2"/>
  <c r="L28" i="2"/>
  <c r="L29" i="2"/>
  <c r="J22" i="2"/>
  <c r="J23" i="2"/>
  <c r="J24" i="2"/>
  <c r="J25" i="2"/>
  <c r="J26" i="2"/>
  <c r="J27" i="2"/>
  <c r="J28" i="2"/>
  <c r="J29" i="2"/>
  <c r="B21" i="2"/>
  <c r="B22" i="2"/>
  <c r="B23" i="2"/>
  <c r="B24" i="2"/>
  <c r="B25" i="2"/>
  <c r="B26" i="2"/>
  <c r="B27" i="2"/>
  <c r="B28" i="2"/>
  <c r="B29" i="2"/>
  <c r="W20" i="2"/>
  <c r="N20" i="2"/>
  <c r="L20" i="2"/>
  <c r="B20" i="2"/>
  <c r="X25" i="2" l="1"/>
  <c r="X24" i="2"/>
  <c r="X27" i="2"/>
  <c r="X26" i="2"/>
  <c r="P17" i="5"/>
  <c r="G19" i="6" s="1"/>
  <c r="C17" i="5"/>
  <c r="N17" i="1"/>
  <c r="P16" i="5"/>
  <c r="G18" i="6" s="1"/>
  <c r="C16" i="5"/>
  <c r="N16" i="1"/>
  <c r="P18" i="5"/>
  <c r="G20" i="6" s="1"/>
  <c r="C18" i="5"/>
  <c r="N18" i="1"/>
  <c r="P19" i="5"/>
  <c r="G21" i="6" s="1"/>
  <c r="C19" i="5"/>
  <c r="N19" i="1"/>
  <c r="X23" i="2"/>
  <c r="L15" i="1" s="1"/>
  <c r="X22" i="2"/>
  <c r="L14" i="1" s="1"/>
  <c r="X29" i="2"/>
  <c r="L21" i="1" s="1"/>
  <c r="X28" i="2"/>
  <c r="L20" i="1" s="1"/>
  <c r="X21" i="2"/>
  <c r="L13" i="1" s="1"/>
  <c r="X20" i="2"/>
  <c r="L12" i="1" s="1"/>
  <c r="P12" i="5" s="1"/>
  <c r="F11" i="6"/>
  <c r="F18" i="6"/>
  <c r="F21" i="6"/>
  <c r="C19" i="6"/>
  <c r="C21" i="6"/>
  <c r="C18" i="6"/>
  <c r="F19" i="6"/>
  <c r="C20" i="6"/>
  <c r="F20" i="6"/>
  <c r="P21" i="5" l="1"/>
  <c r="G23" i="6" s="1"/>
  <c r="C21" i="5"/>
  <c r="P14" i="5"/>
  <c r="G16" i="6" s="1"/>
  <c r="C14" i="5"/>
  <c r="P15" i="5"/>
  <c r="G17" i="6" s="1"/>
  <c r="C15" i="5"/>
  <c r="P13" i="5"/>
  <c r="G15" i="6" s="1"/>
  <c r="C13" i="5"/>
  <c r="P20" i="5"/>
  <c r="G22" i="6" s="1"/>
  <c r="C20" i="5"/>
  <c r="N15" i="1"/>
  <c r="F17" i="6" s="1"/>
  <c r="C17" i="6"/>
  <c r="N14" i="1"/>
  <c r="F16" i="6" s="1"/>
  <c r="N13" i="1"/>
  <c r="F15" i="6" s="1"/>
  <c r="C23" i="6"/>
  <c r="N21" i="1"/>
  <c r="F23" i="6" s="1"/>
  <c r="C22" i="6"/>
  <c r="N20" i="1"/>
  <c r="F22" i="6" s="1"/>
  <c r="G14" i="6"/>
  <c r="N12" i="1"/>
  <c r="F14" i="6" s="1"/>
  <c r="C16" i="6"/>
  <c r="C15" i="6"/>
  <c r="C14" i="6"/>
  <c r="C12" i="5"/>
</calcChain>
</file>

<file path=xl/sharedStrings.xml><?xml version="1.0" encoding="utf-8"?>
<sst xmlns="http://schemas.openxmlformats.org/spreadsheetml/2006/main" count="728" uniqueCount="545">
  <si>
    <t>ONICON F-5000 Thermal Mass Flow Meter Order Form</t>
  </si>
  <si>
    <t>Company Name:</t>
  </si>
  <si>
    <t>Contact Name:</t>
  </si>
  <si>
    <t>Project Name:</t>
  </si>
  <si>
    <t>Project Location:</t>
  </si>
  <si>
    <t>Order Date:</t>
  </si>
  <si>
    <t>Purchase Order #:</t>
  </si>
  <si>
    <t>Needed By (Date):</t>
  </si>
  <si>
    <t>Ship Meters Via:</t>
  </si>
  <si>
    <t>Item #</t>
  </si>
  <si>
    <t>Specifying Engineer:</t>
  </si>
  <si>
    <t>Gas Type</t>
  </si>
  <si>
    <t>Output Signals</t>
  </si>
  <si>
    <t>Line Voltage</t>
  </si>
  <si>
    <t>Process Connection</t>
  </si>
  <si>
    <t>Flow Conditioner</t>
  </si>
  <si>
    <t>Stem Length</t>
  </si>
  <si>
    <t>Retractor Type</t>
  </si>
  <si>
    <t>Model #</t>
  </si>
  <si>
    <t>Internal Use Only</t>
  </si>
  <si>
    <t>Series</t>
  </si>
  <si>
    <t>Display Type</t>
  </si>
  <si>
    <t>Insertion</t>
  </si>
  <si>
    <t>¾ Inch Inline</t>
  </si>
  <si>
    <t>1 Inch Inline</t>
  </si>
  <si>
    <t>1 ¼ Inch Inline</t>
  </si>
  <si>
    <t>Meter Type &amp; Size</t>
  </si>
  <si>
    <t>1</t>
  </si>
  <si>
    <t>2</t>
  </si>
  <si>
    <t>00</t>
  </si>
  <si>
    <t>34</t>
  </si>
  <si>
    <t>13</t>
  </si>
  <si>
    <t>15</t>
  </si>
  <si>
    <t>02</t>
  </si>
  <si>
    <t>03</t>
  </si>
  <si>
    <t>25</t>
  </si>
  <si>
    <t>Meter Type</t>
  </si>
  <si>
    <t>4-20mA &amp; Pulse</t>
  </si>
  <si>
    <t>4-20mA &amp; RS-485 (BACnet or MODBUS)</t>
  </si>
  <si>
    <t>Blind Meter Output</t>
  </si>
  <si>
    <t>3</t>
  </si>
  <si>
    <t>0</t>
  </si>
  <si>
    <t>4</t>
  </si>
  <si>
    <t>24VDC</t>
  </si>
  <si>
    <t>90-265 VAC 50/60 Hz</t>
  </si>
  <si>
    <t>12VDC</t>
  </si>
  <si>
    <t>Remote (Display only)</t>
  </si>
  <si>
    <r>
      <t xml:space="preserve">Insertion - </t>
    </r>
    <r>
      <rPr>
        <sz val="11"/>
        <color theme="1"/>
        <rFont val="Calibri"/>
        <family val="2"/>
      </rPr>
      <t>½ Inch Stem</t>
    </r>
  </si>
  <si>
    <t>Threaded MNPT - ½ Inch Stem</t>
  </si>
  <si>
    <t>ANSI Class 150 Flange - ½ Inch Stem</t>
  </si>
  <si>
    <t>ANSI Class 150 Flange - ¾ Inch Stem</t>
  </si>
  <si>
    <r>
      <t xml:space="preserve">Insertion - </t>
    </r>
    <r>
      <rPr>
        <sz val="11"/>
        <color theme="1"/>
        <rFont val="Calibri"/>
        <family val="2"/>
      </rPr>
      <t>¾ Inch Stem</t>
    </r>
  </si>
  <si>
    <t>Threaded MNPT - ¾ Inch Stem</t>
  </si>
  <si>
    <t>5</t>
  </si>
  <si>
    <t>6</t>
  </si>
  <si>
    <t>ANSI Class 300 Flange - ½ Inch Stem</t>
  </si>
  <si>
    <t>Insertion w/o Conditioner</t>
  </si>
  <si>
    <t>Insertion w/ Conditioner</t>
  </si>
  <si>
    <t>Inline Meter</t>
  </si>
  <si>
    <t>Inline</t>
  </si>
  <si>
    <t>18</t>
  </si>
  <si>
    <t>12 Inch</t>
  </si>
  <si>
    <t>15 Inch</t>
  </si>
  <si>
    <t>18 Inch</t>
  </si>
  <si>
    <t>Standard (60 psi max)</t>
  </si>
  <si>
    <t>High Pressure</t>
  </si>
  <si>
    <t>9</t>
  </si>
  <si>
    <t>1 ½ Inch Inline</t>
  </si>
  <si>
    <t>2 Inch Inline</t>
  </si>
  <si>
    <t>2 ½ Inch Inline</t>
  </si>
  <si>
    <t>3 Inch Inline</t>
  </si>
  <si>
    <t>NAV #</t>
  </si>
  <si>
    <t>Fox Part #</t>
  </si>
  <si>
    <t>NAV Description</t>
  </si>
  <si>
    <t>LOOKUP: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</si>
  <si>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</si>
  <si>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</si>
  <si>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</si>
  <si>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</si>
  <si>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</si>
  <si>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</si>
  <si>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</si>
  <si>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</si>
  <si>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</si>
  <si>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</si>
  <si>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Part Number:</t>
  </si>
  <si>
    <r>
      <t xml:space="preserve">11451 Belcher Road South, Largo, FL 33773 </t>
    </r>
    <r>
      <rPr>
        <b/>
        <sz val="14"/>
        <color theme="1"/>
        <rFont val="Calibri"/>
        <family val="2"/>
      </rPr>
      <t>•</t>
    </r>
    <r>
      <rPr>
        <b/>
        <i/>
        <sz val="14"/>
        <color theme="1"/>
        <rFont val="Calibri"/>
        <family val="2"/>
      </rPr>
      <t xml:space="preserve"> Tel +1 (727) 447-6140 </t>
    </r>
    <r>
      <rPr>
        <b/>
        <sz val="14"/>
        <color theme="1"/>
        <rFont val="Calibri"/>
        <family val="2"/>
      </rPr>
      <t>•</t>
    </r>
    <r>
      <rPr>
        <b/>
        <i/>
        <sz val="14"/>
        <color theme="1"/>
        <rFont val="Calibri"/>
        <family val="2"/>
      </rPr>
      <t xml:space="preserve"> Fax +1 (727) 442-5699</t>
    </r>
  </si>
  <si>
    <t xml:space="preserve">www.onicon.com • </t>
  </si>
  <si>
    <t>customerservice@onicon.com</t>
  </si>
  <si>
    <t>ONICON F-5000 Thermal Mass Flow Meter Application Data Sheet</t>
  </si>
  <si>
    <t>Natural Gas</t>
  </si>
  <si>
    <t>Methane Gas</t>
  </si>
  <si>
    <t>Propane Gas</t>
  </si>
  <si>
    <t>Oxygen Gas</t>
  </si>
  <si>
    <t>Compressed Air</t>
  </si>
  <si>
    <t>Hydrogen</t>
  </si>
  <si>
    <t>Helium</t>
  </si>
  <si>
    <t>Nitrogen</t>
  </si>
  <si>
    <t>Argon</t>
  </si>
  <si>
    <t>Carbon Dioxide</t>
  </si>
  <si>
    <t>Butane</t>
  </si>
  <si>
    <t>NG</t>
  </si>
  <si>
    <t>PG</t>
  </si>
  <si>
    <t>CD</t>
  </si>
  <si>
    <t>ME</t>
  </si>
  <si>
    <t>AI</t>
  </si>
  <si>
    <t>O2</t>
  </si>
  <si>
    <t>HY</t>
  </si>
  <si>
    <t>HE</t>
  </si>
  <si>
    <t>NI</t>
  </si>
  <si>
    <t>AR</t>
  </si>
  <si>
    <t>BU</t>
  </si>
  <si>
    <r>
      <t xml:space="preserve">Max Operating Temperature </t>
    </r>
    <r>
      <rPr>
        <sz val="10"/>
        <color theme="1"/>
        <rFont val="Calibri"/>
        <family val="2"/>
        <scheme val="minor"/>
      </rPr>
      <t>(deg. F.)</t>
    </r>
  </si>
  <si>
    <r>
      <t xml:space="preserve">Pipe Material
 </t>
    </r>
    <r>
      <rPr>
        <sz val="10"/>
        <color theme="1"/>
        <rFont val="Calibri"/>
        <family val="2"/>
        <scheme val="minor"/>
      </rPr>
      <t>(i.e. carbon steel)</t>
    </r>
  </si>
  <si>
    <r>
      <t xml:space="preserve">Pipe Schedule 
</t>
    </r>
    <r>
      <rPr>
        <sz val="10"/>
        <color theme="1"/>
        <rFont val="Calibri"/>
        <family val="2"/>
        <scheme val="minor"/>
      </rPr>
      <t>(i.e. sch 40)</t>
    </r>
  </si>
  <si>
    <r>
      <t xml:space="preserve">Gas Type 
</t>
    </r>
    <r>
      <rPr>
        <sz val="10"/>
        <color theme="1"/>
        <rFont val="Calibri"/>
        <family val="2"/>
        <scheme val="minor"/>
      </rPr>
      <t>(select)</t>
    </r>
  </si>
  <si>
    <r>
      <t xml:space="preserve">Meter Tag Information 
</t>
    </r>
    <r>
      <rPr>
        <sz val="10"/>
        <color theme="1"/>
        <rFont val="Calibri"/>
        <family val="2"/>
        <scheme val="minor"/>
      </rPr>
      <t>(i.e. Building 5 Gas)</t>
    </r>
  </si>
  <si>
    <r>
      <t>Model Number</t>
    </r>
    <r>
      <rPr>
        <sz val="10"/>
        <color theme="1"/>
        <rFont val="Calibri"/>
        <family val="2"/>
        <scheme val="minor"/>
      </rPr>
      <t xml:space="preserve"> 
(From Order Form)</t>
    </r>
  </si>
  <si>
    <r>
      <t xml:space="preserve">Max Operating Pressure 
</t>
    </r>
    <r>
      <rPr>
        <sz val="10"/>
        <color theme="1"/>
        <rFont val="Calibri"/>
        <family val="2"/>
        <scheme val="minor"/>
      </rPr>
      <t>(psig)</t>
    </r>
  </si>
  <si>
    <t>Pipe Size Range</t>
  </si>
  <si>
    <r>
      <t>Integral / Remote Display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</si>
  <si>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r>
      <t>1</t>
    </r>
    <r>
      <rPr>
        <sz val="11"/>
        <color theme="1"/>
        <rFont val="Calibri"/>
        <family val="2"/>
      </rPr>
      <t>½ - 6 Inch</t>
    </r>
  </si>
  <si>
    <t>&gt; 6 Inch</t>
  </si>
  <si>
    <t>Flow &amp; Total Units</t>
  </si>
  <si>
    <t>SCFH &amp; SCF</t>
  </si>
  <si>
    <t>SCFM &amp; SCF</t>
  </si>
  <si>
    <t>NCMH &amp; NCM</t>
  </si>
  <si>
    <t>Scales</t>
  </si>
  <si>
    <t>SCFH</t>
  </si>
  <si>
    <t>SCFM</t>
  </si>
  <si>
    <t>NCMH</t>
  </si>
  <si>
    <r>
      <t xml:space="preserve">Flow &amp; Total Units </t>
    </r>
    <r>
      <rPr>
        <sz val="10"/>
        <color theme="1"/>
        <rFont val="Calibri"/>
        <family val="2"/>
        <scheme val="minor"/>
      </rPr>
      <t>(choose)</t>
    </r>
  </si>
  <si>
    <r>
      <t xml:space="preserve">Pulse Output Scale </t>
    </r>
    <r>
      <rPr>
        <sz val="10"/>
        <color theme="1"/>
        <rFont val="Calibri"/>
        <family val="2"/>
        <scheme val="minor"/>
      </rPr>
      <t>Type: "ONICON Select" or 1 pulse = X units)</t>
    </r>
  </si>
  <si>
    <r>
      <t>Part Number</t>
    </r>
    <r>
      <rPr>
        <sz val="10"/>
        <color theme="1"/>
        <rFont val="Calibri"/>
        <family val="2"/>
        <scheme val="minor"/>
      </rPr>
      <t xml:space="preserve"> 
(From Order Form)</t>
    </r>
  </si>
  <si>
    <r>
      <t>Application Number</t>
    </r>
    <r>
      <rPr>
        <sz val="10"/>
        <color theme="1"/>
        <rFont val="Calibri"/>
        <family val="2"/>
        <scheme val="minor"/>
      </rPr>
      <t xml:space="preserve"> 
(From Application Data Sheet)</t>
    </r>
  </si>
  <si>
    <r>
      <t xml:space="preserve">11451 Belcher Road South, Largo, FL 33773 </t>
    </r>
    <r>
      <rPr>
        <b/>
        <sz val="12"/>
        <color theme="1"/>
        <rFont val="Calibri"/>
        <family val="2"/>
      </rPr>
      <t>•</t>
    </r>
    <r>
      <rPr>
        <b/>
        <i/>
        <sz val="12"/>
        <color theme="1"/>
        <rFont val="Calibri"/>
        <family val="2"/>
      </rPr>
      <t xml:space="preserve"> Tel +1 (727) 447-6140 </t>
    </r>
    <r>
      <rPr>
        <b/>
        <sz val="12"/>
        <color theme="1"/>
        <rFont val="Calibri"/>
        <family val="2"/>
      </rPr>
      <t>•</t>
    </r>
    <r>
      <rPr>
        <b/>
        <i/>
        <sz val="12"/>
        <color theme="1"/>
        <rFont val="Calibri"/>
        <family val="2"/>
      </rPr>
      <t xml:space="preserve"> Fax +1 (727) 442-5699</t>
    </r>
  </si>
  <si>
    <t>F-5500 (With LCD Display)</t>
  </si>
  <si>
    <t>Integral</t>
  </si>
  <si>
    <t>01</t>
  </si>
  <si>
    <t>36278</t>
  </si>
  <si>
    <t>F-5500-2114-1150</t>
  </si>
  <si>
    <t>36279</t>
  </si>
  <si>
    <t>F-5500-2114-1180</t>
  </si>
  <si>
    <t>36280</t>
  </si>
  <si>
    <t>F-5500-3114-1150</t>
  </si>
  <si>
    <t>36281</t>
  </si>
  <si>
    <t>F-5500-3114-1180</t>
  </si>
  <si>
    <t>36282</t>
  </si>
  <si>
    <t>F-5500-4114-1150</t>
  </si>
  <si>
    <t>36283</t>
  </si>
  <si>
    <t>F-5500-4114-1180</t>
  </si>
  <si>
    <t>36286</t>
  </si>
  <si>
    <t>F-5500-2114-2150</t>
  </si>
  <si>
    <t>36287</t>
  </si>
  <si>
    <t>F-5500-2114-2180</t>
  </si>
  <si>
    <t>36288</t>
  </si>
  <si>
    <t>F-5500-3114-2150</t>
  </si>
  <si>
    <t>36289</t>
  </si>
  <si>
    <t>F-5500-3114-2180</t>
  </si>
  <si>
    <t>36290</t>
  </si>
  <si>
    <t>F-5500-4114-2150</t>
  </si>
  <si>
    <t>36291</t>
  </si>
  <si>
    <t>F-5500-4114-2180</t>
  </si>
  <si>
    <t>36294</t>
  </si>
  <si>
    <t>F-5534-2115-3009</t>
  </si>
  <si>
    <t>36295</t>
  </si>
  <si>
    <t>F-5534-2116-3009</t>
  </si>
  <si>
    <t>36296</t>
  </si>
  <si>
    <t>F-5534-3115-3009</t>
  </si>
  <si>
    <t>36297</t>
  </si>
  <si>
    <t>F-5534-3116-3009</t>
  </si>
  <si>
    <t>36298</t>
  </si>
  <si>
    <t>F-5534-4115-3009</t>
  </si>
  <si>
    <t>36299</t>
  </si>
  <si>
    <t>F-5534-4116-3009</t>
  </si>
  <si>
    <t>36302</t>
  </si>
  <si>
    <t>F-5501-2115-3009</t>
  </si>
  <si>
    <t>36303</t>
  </si>
  <si>
    <t>F-5501-2116-3009</t>
  </si>
  <si>
    <t>36304</t>
  </si>
  <si>
    <t>F-5501-3115-3009</t>
  </si>
  <si>
    <t>36305</t>
  </si>
  <si>
    <t>F-5501-3116-3009</t>
  </si>
  <si>
    <t>36306</t>
  </si>
  <si>
    <t>F-5501-4115-3009</t>
  </si>
  <si>
    <t>36307</t>
  </si>
  <si>
    <t>F-5501-4116-3009</t>
  </si>
  <si>
    <t>36310</t>
  </si>
  <si>
    <t>F-5513-2115-3009</t>
  </si>
  <si>
    <t>36311</t>
  </si>
  <si>
    <t>F-5513-2116-3009</t>
  </si>
  <si>
    <t>36312</t>
  </si>
  <si>
    <t>F-5513-3115-3009</t>
  </si>
  <si>
    <t>36313</t>
  </si>
  <si>
    <t>F-5513-3116-3009</t>
  </si>
  <si>
    <t>36314</t>
  </si>
  <si>
    <t>F-5513-4115-3009</t>
  </si>
  <si>
    <t>36315</t>
  </si>
  <si>
    <t>F-5513-4116-3009</t>
  </si>
  <si>
    <t>36318</t>
  </si>
  <si>
    <t>F-5515-2115-3009</t>
  </si>
  <si>
    <t>36319</t>
  </si>
  <si>
    <t>F-5515-2116-3009</t>
  </si>
  <si>
    <t>36320</t>
  </si>
  <si>
    <t>F-5515-3115-3009</t>
  </si>
  <si>
    <t>36321</t>
  </si>
  <si>
    <t>F-5515-3116-3009</t>
  </si>
  <si>
    <t>36322</t>
  </si>
  <si>
    <t>F-5515-4115-3009</t>
  </si>
  <si>
    <t>36323</t>
  </si>
  <si>
    <t>F-5515-4116-3009</t>
  </si>
  <si>
    <t>36326</t>
  </si>
  <si>
    <t>F-5502-2115-3009</t>
  </si>
  <si>
    <t>36327</t>
  </si>
  <si>
    <t>F-5502-2116-3009</t>
  </si>
  <si>
    <t>36328</t>
  </si>
  <si>
    <t>F-5502-3115-3009</t>
  </si>
  <si>
    <t>36329</t>
  </si>
  <si>
    <t>F-5502-3116-3009</t>
  </si>
  <si>
    <t>36330</t>
  </si>
  <si>
    <t>F-5502-4115-3009</t>
  </si>
  <si>
    <t>36331</t>
  </si>
  <si>
    <t>F-5502-4116-3009</t>
  </si>
  <si>
    <t>36334</t>
  </si>
  <si>
    <t>F-5525-2115-3009</t>
  </si>
  <si>
    <t>36335</t>
  </si>
  <si>
    <t>F-5525-2116-3009</t>
  </si>
  <si>
    <t>36336</t>
  </si>
  <si>
    <t>F-5525-3115-3009</t>
  </si>
  <si>
    <t>36337</t>
  </si>
  <si>
    <t>F-5525-3116-3009</t>
  </si>
  <si>
    <t>36338</t>
  </si>
  <si>
    <t>F-5525-4115-3009</t>
  </si>
  <si>
    <t>36339</t>
  </si>
  <si>
    <t>F-5525-4116-3009</t>
  </si>
  <si>
    <t>36342</t>
  </si>
  <si>
    <t>F-5503-2115-3009</t>
  </si>
  <si>
    <t>36343</t>
  </si>
  <si>
    <t>F-5503-2116-3009</t>
  </si>
  <si>
    <t>36344</t>
  </si>
  <si>
    <t>F-5503-3115-3009</t>
  </si>
  <si>
    <t>36345</t>
  </si>
  <si>
    <t>F-5503-3116-3009</t>
  </si>
  <si>
    <t>36346</t>
  </si>
  <si>
    <t>F-5503-4115-3009</t>
  </si>
  <si>
    <t>36347</t>
  </si>
  <si>
    <t>F-5503-4116-3009</t>
  </si>
  <si>
    <t>36350</t>
  </si>
  <si>
    <t>F-5504-2116-3009</t>
  </si>
  <si>
    <t>36351</t>
  </si>
  <si>
    <t>F-5504-3116-3009</t>
  </si>
  <si>
    <t>36352</t>
  </si>
  <si>
    <t>F-5504-4116-3009</t>
  </si>
  <si>
    <t>36354</t>
  </si>
  <si>
    <t>F-5506-2116-3009</t>
  </si>
  <si>
    <t>36355</t>
  </si>
  <si>
    <t>F-5506-3116-3009</t>
  </si>
  <si>
    <t>36356</t>
  </si>
  <si>
    <t>F-5506-4116-3009</t>
  </si>
  <si>
    <t>F-5500-2114-1150 Insertion Thermal Mass Flow Meter</t>
  </si>
  <si>
    <t>F-5500-2114-1180 Insertion Thermal Mass Flow Meter</t>
  </si>
  <si>
    <t>F-5500-3114-1150 Insertion Thermal Mass Flow Meter</t>
  </si>
  <si>
    <t>F-5500-3114-1180 Insertion Thermal Mass Flow Meter</t>
  </si>
  <si>
    <t>F-5500-4114-1150 Insertion Thermal Mass Flow Meter</t>
  </si>
  <si>
    <t>F-5500-4114-1180 Insertion Thermal Mass Flow Meter</t>
  </si>
  <si>
    <t>F-5500-2114-2150 Insertion Thermal Mass Flow Meter Calibrated For  Flow Conditioner</t>
  </si>
  <si>
    <t>F-5500-2114-2180 Insertion Thermal Mass Flow Meter Calibrated For  Flow Conditioner</t>
  </si>
  <si>
    <t>F-5500-3114-2150 Insertion Thermal Mass Flow Meter Calibrated For  Flow Conditioner</t>
  </si>
  <si>
    <t>F-5500-3114-2180 Insertion Thermal Mass Flow Meter Calibrated For  Flow Conditioner</t>
  </si>
  <si>
    <t>F-5500-4114-2150 Insertion Thermal Mass Flow Meter Calibrated For  Flow Conditioner</t>
  </si>
  <si>
    <t>F-5500-4114-2180 Insertion Thermal Mass Flow Meter Calibrated For  Flow Conditioner</t>
  </si>
  <si>
    <t>F-5534-2115-3009 Inline Thermal Mass Flow Meter</t>
  </si>
  <si>
    <t>F-5534-2116-3009 Inline Thermal Mass Flow Meter</t>
  </si>
  <si>
    <t>F-5534-3115-3009 Inline Thermal Mass Flow Meter</t>
  </si>
  <si>
    <t>F-5534-3116-3009 Inline Thermal Mass Flow Meter</t>
  </si>
  <si>
    <t>F-5534-4115-3009 Inline Thermal Mass Flow Meter</t>
  </si>
  <si>
    <t>F-5534-4116-3009 Inline Thermal Mass Flow Meter</t>
  </si>
  <si>
    <t>F-5501-2115-3009 Inline Thermal Mass Flow Meter</t>
  </si>
  <si>
    <t>F-5501-2116-3009 Inline Thermal Mass Flow Meter</t>
  </si>
  <si>
    <t>F-5501-3115-3009 Inline Thermal Mass Flow Meter</t>
  </si>
  <si>
    <t>F-5501-3116-3009 Inline Thermal Mass Flow Meter</t>
  </si>
  <si>
    <t>F-5501-4115-3009 Inline Thermal Mass Flow Meter</t>
  </si>
  <si>
    <t>F-5501-4116-3009 Inline Thermal Mass Flow Meter</t>
  </si>
  <si>
    <t>F-5513-2115-3009 Inline Thermal Mass Flow Meter</t>
  </si>
  <si>
    <t>F-5513-2116-3009 Inline Thermal Mass Flow Meter</t>
  </si>
  <si>
    <t>F-5513-3115-3009 Inline Thermal Mass Flow Meter</t>
  </si>
  <si>
    <t>F-5513-3116-3009 Inline Thermal Mass Flow Meter</t>
  </si>
  <si>
    <t>F-5513-4115-3009 Inline Thermal Mass Flow Meter</t>
  </si>
  <si>
    <t>F-5513-4116-3009 Inline Thermal Mass Flow Meter</t>
  </si>
  <si>
    <t>F-5515-2115-3009 Inline Thermal Mass Flow Meter</t>
  </si>
  <si>
    <t>F-5515-2116-3009 Inline Thermal Mass Flow Meter</t>
  </si>
  <si>
    <t>F-5515-3115-3009 Inline Thermal Mass Flow Meter</t>
  </si>
  <si>
    <t>F-5515-3116-3009 Inline Thermal Mass Flow Meter</t>
  </si>
  <si>
    <t>F-5515-4115-3009 Inline Thermal Mass Flow Meter</t>
  </si>
  <si>
    <t>F-5515-4116-3009 Inline Thermal Mass Flow Meter</t>
  </si>
  <si>
    <t>F-5502-2115-3009 Inline Thermal Mass Flow Meter</t>
  </si>
  <si>
    <t>F-5502-2116-3009 Inline Thermal Mass Flow Meter</t>
  </si>
  <si>
    <t>F-5502-3115-3009 Inline Thermal Mass Flow Meter</t>
  </si>
  <si>
    <t>F-5502-3116-3009 Inline Thermal Mass Flow Meter</t>
  </si>
  <si>
    <t>F-5502-4115-3009 Inline Thermal Mass Flow Meter</t>
  </si>
  <si>
    <t>F-5502-4116-3009 Inline Thermal Mass Flow Meter</t>
  </si>
  <si>
    <t>F-5525-2115-3009 Inline Thermal Mass Flow Meter</t>
  </si>
  <si>
    <t>F-5525-2116-3009 Inline Thermal Mass Flow Meter</t>
  </si>
  <si>
    <t>F-5525-3115-3009 Inline Thermal Mass Flow Meter</t>
  </si>
  <si>
    <t>F-5525-3116-3009 Inline Thermal Mass Flow Meter</t>
  </si>
  <si>
    <t>F-5525-4115-3009 Inline Thermal Mass Flow Meter</t>
  </si>
  <si>
    <t>F-5525-4116-3009 Inline Thermal Mass Flow Meter</t>
  </si>
  <si>
    <t>F-5503-2115-3009 Inline Thermal Mass Flow Meter</t>
  </si>
  <si>
    <t>F-5503-2116-3009 Inline Thermal Mass Flow Meter</t>
  </si>
  <si>
    <t>F-5503-3115-3009 Inline Thermal Mass Flow Meter</t>
  </si>
  <si>
    <t>F-5503-3116-3009 Inline Thermal Mass Flow Meter</t>
  </si>
  <si>
    <t>F-5503-4115-3009 Inline Thermal Mass Flow Meter</t>
  </si>
  <si>
    <t>F-5503-4116-3009 Inline Thermal Mass Flow Meter</t>
  </si>
  <si>
    <t>F-5504-2116-3009 Inline Thermal Mass Flow Meter</t>
  </si>
  <si>
    <t>F-5504-3116-3009 Inline Thermal Mass Flow Meter</t>
  </si>
  <si>
    <t>F-5504-4116-3009 Inline Thermal Mass Flow Meter</t>
  </si>
  <si>
    <t>F-5506-2116-3009 Inline Thermal Mass Flow Meter</t>
  </si>
  <si>
    <t>F-5506-3116-3009 Inline Thermal Mass Flow Meter</t>
  </si>
  <si>
    <t>F-5506-4116-3009 Inline Thermal Mass Flow Meter</t>
  </si>
  <si>
    <t>4 Inch Inline</t>
  </si>
  <si>
    <t>6 Inch Inline</t>
  </si>
  <si>
    <t>04</t>
  </si>
  <si>
    <t>06</t>
  </si>
  <si>
    <t>107090</t>
  </si>
  <si>
    <t>107091</t>
  </si>
  <si>
    <t>107092</t>
  </si>
  <si>
    <t>107093</t>
  </si>
  <si>
    <t>107094</t>
  </si>
  <si>
    <t>107095</t>
  </si>
  <si>
    <t>107103</t>
  </si>
  <si>
    <t>107104</t>
  </si>
  <si>
    <t>107105</t>
  </si>
  <si>
    <t>107106</t>
  </si>
  <si>
    <t>107107</t>
  </si>
  <si>
    <t>107108</t>
  </si>
  <si>
    <t>107135</t>
  </si>
  <si>
    <t>107136</t>
  </si>
  <si>
    <t>107137</t>
  </si>
  <si>
    <t>107138</t>
  </si>
  <si>
    <t>107139</t>
  </si>
  <si>
    <t>107140</t>
  </si>
  <si>
    <t>107040</t>
  </si>
  <si>
    <t>107117</t>
  </si>
  <si>
    <t>107115</t>
  </si>
  <si>
    <t>107118</t>
  </si>
  <si>
    <t>107116</t>
  </si>
  <si>
    <t>107119</t>
  </si>
  <si>
    <t>107141</t>
  </si>
  <si>
    <t>107142</t>
  </si>
  <si>
    <t>107143</t>
  </si>
  <si>
    <t>107144</t>
  </si>
  <si>
    <t>107145</t>
  </si>
  <si>
    <t>107146</t>
  </si>
  <si>
    <t>107147</t>
  </si>
  <si>
    <t>107148</t>
  </si>
  <si>
    <t>107149</t>
  </si>
  <si>
    <t>107150</t>
  </si>
  <si>
    <t>107151</t>
  </si>
  <si>
    <t>107152</t>
  </si>
  <si>
    <t>107120</t>
  </si>
  <si>
    <t>107121</t>
  </si>
  <si>
    <t>107122</t>
  </si>
  <si>
    <t>107123</t>
  </si>
  <si>
    <t>107124</t>
  </si>
  <si>
    <t>107125</t>
  </si>
  <si>
    <t>107153</t>
  </si>
  <si>
    <t>107154</t>
  </si>
  <si>
    <t>107155</t>
  </si>
  <si>
    <t>107156</t>
  </si>
  <si>
    <t>107157</t>
  </si>
  <si>
    <t>107158</t>
  </si>
  <si>
    <t>107126</t>
  </si>
  <si>
    <t>107127</t>
  </si>
  <si>
    <t>107128</t>
  </si>
  <si>
    <t>107129</t>
  </si>
  <si>
    <t>107130</t>
  </si>
  <si>
    <t>107131</t>
  </si>
  <si>
    <t>107132</t>
  </si>
  <si>
    <t>107133</t>
  </si>
  <si>
    <t>107134</t>
  </si>
  <si>
    <t>107159</t>
  </si>
  <si>
    <t>107160</t>
  </si>
  <si>
    <t>107161</t>
  </si>
  <si>
    <t>4-20mA, HART &amp; Pulse</t>
  </si>
  <si>
    <t xml:space="preserve">BACnet or MODBUS </t>
  </si>
  <si>
    <t>Output Type</t>
  </si>
  <si>
    <t>BACnet</t>
  </si>
  <si>
    <t>MODBUS</t>
  </si>
  <si>
    <t>N/A</t>
  </si>
  <si>
    <t>Ship Kits In Advance?</t>
  </si>
  <si>
    <t>Ship Kits</t>
  </si>
  <si>
    <t>Yes</t>
  </si>
  <si>
    <t>No</t>
  </si>
  <si>
    <t>Install Kit Required?</t>
  </si>
  <si>
    <t>Kit Type</t>
  </si>
  <si>
    <t>Full Scale Default Settings</t>
  </si>
  <si>
    <t>PULSE</t>
  </si>
  <si>
    <t>Nom.
Dia.</t>
  </si>
  <si>
    <t>SCFH @ Approximately 5,000 SFPM</t>
  </si>
  <si>
    <t>Cut-Off (0.005 x Full Scale; ~25 SCFH)</t>
  </si>
  <si>
    <t>Pulse 
Scaling</t>
  </si>
  <si>
    <t>Pulse Every X Seconds @ Max Flow</t>
  </si>
  <si>
    <t>NPT Inline AppID #</t>
  </si>
  <si>
    <t>Flanged Inline AppID #</t>
  </si>
  <si>
    <t>Retractor Insertion
No Conditioner
AppID #</t>
  </si>
  <si>
    <t>Retractor Insertion
w/ Conditioner
AppID #</t>
  </si>
  <si>
    <r>
      <t xml:space="preserve">Pipe Size 
</t>
    </r>
    <r>
      <rPr>
        <sz val="10"/>
        <color theme="1"/>
        <rFont val="Calibri"/>
        <family val="2"/>
        <scheme val="minor"/>
      </rPr>
      <t>(nominal dia., inches)</t>
    </r>
  </si>
  <si>
    <t>HART</t>
  </si>
  <si>
    <t>F-5400-2114-1150</t>
  </si>
  <si>
    <t>F-5400-2114-1150 Insertion Thermal Mass Flow Meter</t>
  </si>
  <si>
    <t>F-5400-2114-1180</t>
  </si>
  <si>
    <t>F-5400-2114-1180 Insertion Thermal Mass Flow Meter</t>
  </si>
  <si>
    <t>F-5400-2114-2150</t>
  </si>
  <si>
    <t>F-5400-2114-2150 Insertion Thermal Mass Flow Meter Calibrated For  Flow Conditioner</t>
  </si>
  <si>
    <t>F-5400-2114-2180</t>
  </si>
  <si>
    <t>F-5400-2114-2180 Insertion Thermal Mass Flow Meter Calibrated For  Flow Conditioner</t>
  </si>
  <si>
    <t>F-5434-2115-3009</t>
  </si>
  <si>
    <t>F-5434-2115-3009 Inline Thermal Mass Flow Meter</t>
  </si>
  <si>
    <t>F-5434-2116-3009</t>
  </si>
  <si>
    <t>F-5434-2116-3009 Inline Thermal Mass Flow Meter</t>
  </si>
  <si>
    <t>F-5401-2115-3009</t>
  </si>
  <si>
    <t>F-5401-2115-3009 Inline Thermal Mass Flow Meter</t>
  </si>
  <si>
    <t>F-5401-2116-3009</t>
  </si>
  <si>
    <t>F-5401-2116-3009 Inline Thermal Mass Flow Meter</t>
  </si>
  <si>
    <t>F-5413-2115-3009</t>
  </si>
  <si>
    <t>F-5413-2115-3009 Inline Thermal Mass Flow Meter</t>
  </si>
  <si>
    <t>F-5413-2116-3009</t>
  </si>
  <si>
    <t>F-5413-2116-3009 Inline Thermal Mass Flow Meter</t>
  </si>
  <si>
    <t>F-5415-2115-3009</t>
  </si>
  <si>
    <t>F-5415-2115-3009 Inline Thermal Mass Flow Meter</t>
  </si>
  <si>
    <t>F-5415-2116-3009</t>
  </si>
  <si>
    <t>F-5415-2116-3009 Inline Thermal Mass Flow Meter</t>
  </si>
  <si>
    <t>F-5402-2115-3009</t>
  </si>
  <si>
    <t>F-5402-2115-3009 Inline Thermal Mass Flow Meter</t>
  </si>
  <si>
    <t>F-5402-2116-3009</t>
  </si>
  <si>
    <t>F-5402-2116-3009 Inline Thermal Mass Flow Meter</t>
  </si>
  <si>
    <t>F-5425-2115-3009</t>
  </si>
  <si>
    <t>F-5425-2115-3009 Inline Thermal Mass Flow Meter</t>
  </si>
  <si>
    <t>F-5425-2116-3009</t>
  </si>
  <si>
    <t>F-5425-2116-3009 Inline Thermal Mass Flow Meter</t>
  </si>
  <si>
    <t>F-5403-2115-3009</t>
  </si>
  <si>
    <t>F-5403-2115-3009 Inline Thermal Mass Flow Meter</t>
  </si>
  <si>
    <t>F-5403-2116-3009</t>
  </si>
  <si>
    <t>F-5403-2116-3009 Inline Thermal Mass Flow Meter</t>
  </si>
  <si>
    <t>F-5404-2116-3009</t>
  </si>
  <si>
    <t>F-5404-2116-3009 Inline Thermal Mass Flow Meter</t>
  </si>
  <si>
    <t>F-5406-2116-3009</t>
  </si>
  <si>
    <t>F-5406-2116-3009 Inline Thermal Mass Flow Meter</t>
  </si>
  <si>
    <t>F-5400 (No LCD Display)</t>
  </si>
  <si>
    <t>Process Adapter Fitting</t>
  </si>
  <si>
    <t>F-5500-2114-1151</t>
  </si>
  <si>
    <t>F-5500-3114-1151</t>
  </si>
  <si>
    <t>F-5500-4114-1151</t>
  </si>
  <si>
    <t>F-5500-2114-1181</t>
  </si>
  <si>
    <t>F-5500-3114-1181</t>
  </si>
  <si>
    <t>F-5500-4114-1181</t>
  </si>
  <si>
    <t>F-5500-2114-2151</t>
  </si>
  <si>
    <t>F-5500-3114-2151</t>
  </si>
  <si>
    <t>F-5500-4114-2151</t>
  </si>
  <si>
    <t>F-5500-2114-2181</t>
  </si>
  <si>
    <t>F-5500-3114-2181</t>
  </si>
  <si>
    <t>F-5500-4114-2181</t>
  </si>
  <si>
    <t>F-5400-2114-1151</t>
  </si>
  <si>
    <t>F-5400-2114-1181</t>
  </si>
  <si>
    <t>F-5400-2114-2151</t>
  </si>
  <si>
    <t>F-5400-2114-2181</t>
  </si>
  <si>
    <t>F-5500 Insertion Thermal Mass Flow Meter For High Pressure</t>
  </si>
  <si>
    <t>F-5500 Insertion Thermal Mass Flow Meter For High Pressure, Calibrated for Flow Conditioner</t>
  </si>
  <si>
    <t>F-5400 Insertion Thermal Mass Flow Meter For High Pressure</t>
  </si>
  <si>
    <t>F-5400 Insertion Thermal Mass Flow Meter For High Pressure, Calibrated for Flow Conditioner</t>
  </si>
  <si>
    <t>NCMM &amp; NCM</t>
  </si>
  <si>
    <t>107299</t>
  </si>
  <si>
    <t>107300</t>
  </si>
  <si>
    <t>107301</t>
  </si>
  <si>
    <t>107302</t>
  </si>
  <si>
    <t>107303</t>
  </si>
  <si>
    <t>107304</t>
  </si>
  <si>
    <t>107305</t>
  </si>
  <si>
    <t>107306</t>
  </si>
  <si>
    <t>107307</t>
  </si>
  <si>
    <t>107308</t>
  </si>
  <si>
    <t>107309</t>
  </si>
  <si>
    <t>107310</t>
  </si>
  <si>
    <r>
      <t>Meter Tag Information</t>
    </r>
    <r>
      <rPr>
        <sz val="10"/>
        <color theme="1"/>
        <rFont val="Calibri"/>
        <family val="2"/>
        <scheme val="minor"/>
      </rPr>
      <t xml:space="preserve">
(From Application Data Sheet or Type Directly Here)</t>
    </r>
  </si>
  <si>
    <r>
      <t xml:space="preserve">Instructions For Completion:
</t>
    </r>
    <r>
      <rPr>
        <sz val="11"/>
        <color theme="1"/>
        <rFont val="Calibri"/>
        <family val="2"/>
        <scheme val="minor"/>
      </rPr>
      <t xml:space="preserve">   * Do not use this tab until your meters have valid model numbers on the "Order Form" tab. Meters with valid model numbers will auto-populate on this tab.
   * Use this tab to complete the application details for each meter.
   * Submit this completed Excel document to complete the order.</t>
    </r>
  </si>
  <si>
    <t>37537</t>
  </si>
  <si>
    <t>37576</t>
  </si>
  <si>
    <t>37538</t>
  </si>
  <si>
    <t>37577</t>
  </si>
  <si>
    <t>37539</t>
  </si>
  <si>
    <t>37578</t>
  </si>
  <si>
    <t>37540</t>
  </si>
  <si>
    <t>37579</t>
  </si>
  <si>
    <t>37543</t>
  </si>
  <si>
    <t>37544</t>
  </si>
  <si>
    <t>37549</t>
  </si>
  <si>
    <t>37550</t>
  </si>
  <si>
    <t>37553</t>
  </si>
  <si>
    <t>37554</t>
  </si>
  <si>
    <t>37555</t>
  </si>
  <si>
    <t>37556</t>
  </si>
  <si>
    <t>37545</t>
  </si>
  <si>
    <t>37546</t>
  </si>
  <si>
    <t>37547</t>
  </si>
  <si>
    <t>37548</t>
  </si>
  <si>
    <t>37551</t>
  </si>
  <si>
    <t>37552</t>
  </si>
  <si>
    <t>37541</t>
  </si>
  <si>
    <t>37542</t>
  </si>
  <si>
    <t>107616</t>
  </si>
  <si>
    <t>107618</t>
  </si>
  <si>
    <t>107617</t>
  </si>
  <si>
    <t>107619</t>
  </si>
  <si>
    <t>107620</t>
  </si>
  <si>
    <t>107621</t>
  </si>
  <si>
    <t>107622</t>
  </si>
  <si>
    <t>107623</t>
  </si>
  <si>
    <t>107626</t>
  </si>
  <si>
    <t>107628</t>
  </si>
  <si>
    <t>107633</t>
  </si>
  <si>
    <t>107634</t>
  </si>
  <si>
    <t>107627</t>
  </si>
  <si>
    <t>107635</t>
  </si>
  <si>
    <t>107636</t>
  </si>
  <si>
    <t>107637</t>
  </si>
  <si>
    <t>107629</t>
  </si>
  <si>
    <t>107630</t>
  </si>
  <si>
    <t>107638</t>
  </si>
  <si>
    <t>107639</t>
  </si>
  <si>
    <t>107640</t>
  </si>
  <si>
    <t>107641</t>
  </si>
  <si>
    <t>107631</t>
  </si>
  <si>
    <t>107632</t>
  </si>
  <si>
    <r>
      <t>20mA Scale</t>
    </r>
    <r>
      <rPr>
        <sz val="9"/>
        <color theme="1"/>
        <rFont val="Calibri"/>
        <family val="2"/>
        <scheme val="minor"/>
      </rPr>
      <t xml:space="preserve"> [Type "ONICON Select" (for low pressure gas only) or enter custom value]</t>
    </r>
  </si>
  <si>
    <t>Application</t>
  </si>
  <si>
    <t>Boiler</t>
  </si>
  <si>
    <t xml:space="preserve">Building Monitoring </t>
  </si>
  <si>
    <t>Other</t>
  </si>
  <si>
    <r>
      <t xml:space="preserve">Application 
</t>
    </r>
    <r>
      <rPr>
        <sz val="10"/>
        <color theme="1"/>
        <rFont val="Calibri"/>
        <family val="2"/>
        <scheme val="minor"/>
      </rPr>
      <t>(select)</t>
    </r>
  </si>
  <si>
    <t>Water Heater</t>
  </si>
  <si>
    <t>INSTL0094-FMH ?</t>
  </si>
  <si>
    <r>
      <t>Flow Conditioner</t>
    </r>
    <r>
      <rPr>
        <b/>
        <sz val="10"/>
        <color theme="1"/>
        <rFont val="Calibri"/>
        <family val="2"/>
      </rPr>
      <t>²</t>
    </r>
  </si>
  <si>
    <r>
      <t xml:space="preserve">Instructions For Completion:
   * </t>
    </r>
    <r>
      <rPr>
        <sz val="11"/>
        <color theme="1"/>
        <rFont val="Calibri"/>
        <family val="2"/>
        <scheme val="minor"/>
      </rPr>
      <t>Complete the contact, specifying engineer, purchase order, and shipment information at the top of the page. Information entered here will carry over to the other tabs.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   * Select meter options from the pull down lists. Options with only one selection have already been filled in. 
   * Once an item is complete, the associated model number will populate in the "Model #" field. If you have selected an invalid model number, a message will appear stating such. Resolve the errors which appear.
   * After all of your meters have valid model numbers, select the "Application Data" tab below to complete information in regards to how the meter will be configured for the application. 
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Only intergral mount is available at this time.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</rPr>
      <t>² Flow conditioners must be ordered with meter.</t>
    </r>
  </si>
  <si>
    <t>INSTL0094</t>
  </si>
  <si>
    <t>INSTL0096 (CRN)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</si>
</sst>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i/>
      <sz val="14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i/>
      <u/>
      <sz val="14"/>
      <color theme="4"/>
      <name val="Calibri"/>
      <family val="2"/>
      <scheme val="minor"/>
    </font>
    <font>
      <b/>
      <i/>
      <sz val="14"/>
      <color theme="4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i/>
      <u/>
      <sz val="12"/>
      <color theme="4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0" fontId="6" fillId="0" borderId="0" xfId="0" applyFont="1"/>
    <xf numFmtId="0" fontId="0" fillId="0" borderId="0" xfId="0" quotePrefix="1"/>
    <xf numFmtId="14" fontId="0" fillId="2" borderId="12" xfId="0" applyNumberFormat="1" applyFill="1" applyBorder="1" applyAlignment="1" applyProtection="1">
      <alignment horizontal="center" vertical="center"/>
      <protection locked="0" hidden="1"/>
    </xf>
    <xf numFmtId="0" fontId="0" fillId="2" borderId="12" xfId="0" applyNumberFormat="1" applyFill="1" applyBorder="1" applyAlignment="1" applyProtection="1">
      <alignment horizontal="center" vertical="center"/>
      <protection locked="0" hidden="1"/>
    </xf>
    <xf numFmtId="0" fontId="0" fillId="0" borderId="18" xfId="0" applyBorder="1" applyAlignment="1" applyProtection="1">
      <alignment horizontal="center" vertical="center" wrapText="1"/>
      <protection locked="0" hidden="1"/>
    </xf>
    <xf numFmtId="0" fontId="0" fillId="3" borderId="19" xfId="0" applyFill="1" applyBorder="1" applyAlignment="1" applyProtection="1">
      <alignment horizontal="center" vertical="center" wrapText="1"/>
      <protection locked="0" hidden="1"/>
    </xf>
    <xf numFmtId="0" fontId="0" fillId="0" borderId="19" xfId="0" applyBorder="1" applyAlignment="1" applyProtection="1">
      <alignment horizontal="center" vertical="center" wrapText="1"/>
      <protection locked="0" hidden="1"/>
    </xf>
    <xf numFmtId="0" fontId="0" fillId="3" borderId="20" xfId="0" applyFill="1" applyBorder="1" applyAlignment="1" applyProtection="1">
      <alignment horizontal="center" vertical="center" wrapText="1"/>
      <protection locked="0"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3" borderId="19" xfId="0" applyFill="1" applyBorder="1" applyAlignment="1" applyProtection="1">
      <alignment horizontal="center" vertical="center" wrapText="1"/>
      <protection hidden="1"/>
    </xf>
    <xf numFmtId="0" fontId="0" fillId="3" borderId="6" xfId="0" applyFill="1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3" borderId="20" xfId="0" applyFill="1" applyBorder="1" applyAlignment="1" applyProtection="1">
      <alignment horizontal="center" vertical="center" wrapText="1"/>
      <protection hidden="1"/>
    </xf>
    <xf numFmtId="0" fontId="0" fillId="3" borderId="9" xfId="0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locked="0" hidden="1"/>
    </xf>
    <xf numFmtId="0" fontId="0" fillId="2" borderId="3" xfId="0" applyFill="1" applyBorder="1" applyProtection="1"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0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14" fontId="0" fillId="2" borderId="0" xfId="0" applyNumberFormat="1" applyFill="1" applyBorder="1" applyAlignment="1" applyProtection="1">
      <protection locked="0" hidden="1"/>
    </xf>
    <xf numFmtId="0" fontId="0" fillId="2" borderId="0" xfId="0" applyFill="1" applyBorder="1" applyAlignment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5" fillId="0" borderId="0" xfId="0" applyFont="1" applyAlignment="1" applyProtection="1">
      <alignment horizontal="center" vertical="center" wrapText="1"/>
      <protection locked="0" hidden="1"/>
    </xf>
    <xf numFmtId="0" fontId="0" fillId="0" borderId="6" xfId="0" applyBorder="1" applyProtection="1">
      <protection locked="0"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3" borderId="16" xfId="0" applyFont="1" applyFill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3" borderId="17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0" borderId="0" xfId="0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22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4" fillId="2" borderId="11" xfId="0" applyFont="1" applyFill="1" applyBorder="1" applyAlignment="1" applyProtection="1">
      <alignment horizontal="right"/>
      <protection hidden="1"/>
    </xf>
    <xf numFmtId="14" fontId="0" fillId="2" borderId="0" xfId="0" applyNumberFormat="1" applyFill="1" applyBorder="1" applyAlignment="1" applyProtection="1">
      <protection hidden="1"/>
    </xf>
    <xf numFmtId="0" fontId="0" fillId="2" borderId="0" xfId="0" applyFill="1" applyBorder="1" applyAlignment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0" borderId="6" xfId="0" applyBorder="1" applyProtection="1">
      <protection hidden="1"/>
    </xf>
    <xf numFmtId="0" fontId="0" fillId="0" borderId="8" xfId="0" applyBorder="1" applyProtection="1">
      <protection hidden="1"/>
    </xf>
    <xf numFmtId="0" fontId="3" fillId="2" borderId="5" xfId="0" applyFont="1" applyFill="1" applyBorder="1" applyProtection="1">
      <protection hidden="1"/>
    </xf>
    <xf numFmtId="14" fontId="0" fillId="2" borderId="12" xfId="0" applyNumberFormat="1" applyFill="1" applyBorder="1" applyAlignment="1" applyProtection="1">
      <alignment horizontal="center" vertical="center"/>
      <protection hidden="1"/>
    </xf>
    <xf numFmtId="0" fontId="0" fillId="2" borderId="12" xfId="0" applyNumberFormat="1" applyFill="1" applyBorder="1" applyAlignment="1" applyProtection="1">
      <alignment horizontal="center" vertical="center"/>
      <protection hidden="1"/>
    </xf>
    <xf numFmtId="0" fontId="0" fillId="0" borderId="5" xfId="0" applyBorder="1" applyProtection="1"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1" fillId="3" borderId="23" xfId="0" applyFont="1" applyFill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2" fillId="0" borderId="0" xfId="0" applyFont="1" applyFill="1" applyBorder="1" applyAlignment="1" applyProtection="1">
      <alignment wrapText="1"/>
      <protection hidden="1"/>
    </xf>
    <xf numFmtId="0" fontId="10" fillId="0" borderId="0" xfId="1" applyFont="1" applyFill="1" applyBorder="1" applyAlignment="1" applyProtection="1">
      <alignment vertical="top" wrapText="1"/>
      <protection hidden="1"/>
    </xf>
    <xf numFmtId="0" fontId="2" fillId="0" borderId="0" xfId="0" applyFont="1" applyFill="1" applyBorder="1" applyAlignment="1" applyProtection="1">
      <alignment vertical="top" wrapText="1"/>
      <protection hidden="1"/>
    </xf>
    <xf numFmtId="49" fontId="0" fillId="4" borderId="29" xfId="0" applyNumberFormat="1" applyFont="1" applyFill="1" applyBorder="1"/>
    <xf numFmtId="49" fontId="0" fillId="4" borderId="30" xfId="0" applyNumberFormat="1" applyFont="1" applyFill="1" applyBorder="1"/>
    <xf numFmtId="49" fontId="0" fillId="0" borderId="29" xfId="0" applyNumberFormat="1" applyFont="1" applyBorder="1"/>
    <xf numFmtId="49" fontId="0" fillId="0" borderId="30" xfId="0" applyNumberFormat="1" applyFont="1" applyBorder="1"/>
    <xf numFmtId="0" fontId="0" fillId="0" borderId="18" xfId="0" applyBorder="1" applyAlignment="1" applyProtection="1">
      <alignment horizontal="center" vertical="center"/>
      <protection hidden="1"/>
    </xf>
    <xf numFmtId="0" fontId="0" fillId="3" borderId="19" xfId="0" applyFill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49" fontId="0" fillId="4" borderId="31" xfId="0" applyNumberFormat="1" applyFont="1" applyFill="1" applyBorder="1"/>
    <xf numFmtId="49" fontId="0" fillId="0" borderId="31" xfId="0" applyNumberFormat="1" applyFont="1" applyBorder="1"/>
    <xf numFmtId="0" fontId="0" fillId="3" borderId="6" xfId="0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right"/>
      <protection locked="0" hidden="1"/>
    </xf>
    <xf numFmtId="0" fontId="0" fillId="2" borderId="0" xfId="0" applyNumberFormat="1" applyFill="1" applyBorder="1" applyAlignment="1" applyProtection="1">
      <alignment horizontal="center" vertical="center"/>
      <protection locked="0" hidden="1"/>
    </xf>
    <xf numFmtId="0" fontId="0" fillId="2" borderId="12" xfId="0" applyFill="1" applyBorder="1" applyAlignment="1" applyProtection="1">
      <alignment horizontal="center"/>
      <protection locked="0"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0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locked="0" hidden="1"/>
    </xf>
    <xf numFmtId="0" fontId="0" fillId="2" borderId="12" xfId="0" applyFill="1" applyBorder="1" applyAlignment="1" applyProtection="1">
      <alignment horizontal="center"/>
      <protection hidden="1"/>
    </xf>
    <xf numFmtId="0" fontId="0" fillId="0" borderId="34" xfId="0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19" fillId="3" borderId="35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19" fillId="3" borderId="36" xfId="0" applyFont="1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0" xfId="0" quotePrefix="1" applyAlignment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hidden="1"/>
    </xf>
    <xf numFmtId="2" fontId="6" fillId="0" borderId="0" xfId="0" applyNumberFormat="1" applyFont="1"/>
    <xf numFmtId="2" fontId="0" fillId="0" borderId="18" xfId="0" applyNumberFormat="1" applyBorder="1" applyAlignment="1" applyProtection="1">
      <alignment horizontal="center" vertical="center" wrapText="1"/>
      <protection locked="0" hidden="1"/>
    </xf>
    <xf numFmtId="2" fontId="0" fillId="3" borderId="19" xfId="0" applyNumberFormat="1" applyFill="1" applyBorder="1" applyAlignment="1" applyProtection="1">
      <alignment horizontal="center" vertical="center" wrapText="1"/>
      <protection locked="0" hidden="1"/>
    </xf>
    <xf numFmtId="2" fontId="0" fillId="0" borderId="19" xfId="0" applyNumberFormat="1" applyBorder="1" applyAlignment="1" applyProtection="1">
      <alignment horizontal="center" vertical="center" wrapText="1"/>
      <protection locked="0" hidden="1"/>
    </xf>
    <xf numFmtId="2" fontId="0" fillId="3" borderId="20" xfId="0" applyNumberFormat="1" applyFill="1" applyBorder="1" applyAlignment="1" applyProtection="1">
      <alignment horizontal="center" vertical="center" wrapText="1"/>
      <protection locked="0" hidden="1"/>
    </xf>
    <xf numFmtId="0" fontId="0" fillId="0" borderId="18" xfId="0" applyFill="1" applyBorder="1" applyAlignment="1" applyProtection="1">
      <alignment horizontal="center" vertical="center" wrapText="1"/>
      <protection locked="0" hidden="1"/>
    </xf>
    <xf numFmtId="0" fontId="0" fillId="3" borderId="19" xfId="0" applyFill="1" applyBorder="1" applyAlignment="1" applyProtection="1">
      <alignment horizontal="center" vertical="center"/>
      <protection locked="0" hidden="1"/>
    </xf>
    <xf numFmtId="0" fontId="0" fillId="0" borderId="19" xfId="0" applyBorder="1" applyAlignment="1" applyProtection="1">
      <alignment horizontal="center" vertical="center"/>
      <protection locked="0" hidden="1"/>
    </xf>
    <xf numFmtId="0" fontId="0" fillId="0" borderId="0" xfId="0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 wrapText="1"/>
    </xf>
    <xf numFmtId="164" fontId="0" fillId="0" borderId="35" xfId="0" applyNumberFormat="1" applyBorder="1" applyAlignment="1">
      <alignment horizontal="center"/>
    </xf>
    <xf numFmtId="0" fontId="0" fillId="0" borderId="12" xfId="0" applyFill="1" applyBorder="1" applyAlignment="1">
      <alignment horizontal="center" wrapText="1"/>
    </xf>
    <xf numFmtId="0" fontId="0" fillId="0" borderId="35" xfId="0" applyFill="1" applyBorder="1" applyAlignment="1">
      <alignment horizontal="center"/>
    </xf>
    <xf numFmtId="0" fontId="19" fillId="0" borderId="35" xfId="0" applyFont="1" applyFill="1" applyBorder="1" applyAlignment="1">
      <alignment horizontal="center"/>
    </xf>
    <xf numFmtId="0" fontId="19" fillId="0" borderId="36" xfId="0" applyFont="1" applyFill="1" applyBorder="1" applyAlignment="1">
      <alignment horizontal="center"/>
    </xf>
    <xf numFmtId="0" fontId="20" fillId="0" borderId="35" xfId="0" applyFont="1" applyFill="1" applyBorder="1" applyAlignment="1">
      <alignment horizontal="center"/>
    </xf>
    <xf numFmtId="0" fontId="20" fillId="0" borderId="36" xfId="0" applyFont="1" applyFill="1" applyBorder="1" applyAlignment="1">
      <alignment horizontal="center"/>
    </xf>
    <xf numFmtId="2" fontId="0" fillId="0" borderId="0" xfId="0" quotePrefix="1" applyNumberFormat="1" applyAlignment="1">
      <alignment horizontal="center" vertical="center"/>
    </xf>
    <xf numFmtId="2" fontId="0" fillId="0" borderId="35" xfId="0" quotePrefix="1" applyNumberFormat="1" applyBorder="1" applyAlignment="1">
      <alignment horizontal="center" vertical="center"/>
    </xf>
    <xf numFmtId="2" fontId="0" fillId="0" borderId="36" xfId="0" quotePrefix="1" applyNumberFormat="1" applyBorder="1" applyAlignment="1">
      <alignment horizontal="center" vertical="center"/>
    </xf>
    <xf numFmtId="0" fontId="21" fillId="3" borderId="10" xfId="0" applyFont="1" applyFill="1" applyBorder="1" applyAlignment="1" applyProtection="1">
      <alignment horizontal="center" vertical="center" wrapText="1"/>
      <protection hidden="1"/>
    </xf>
    <xf numFmtId="0" fontId="20" fillId="0" borderId="18" xfId="0" applyFont="1" applyBorder="1" applyAlignment="1" applyProtection="1">
      <alignment horizontal="center" vertical="center" wrapText="1"/>
      <protection locked="0" hidden="1"/>
    </xf>
    <xf numFmtId="0" fontId="0" fillId="0" borderId="37" xfId="0" applyBorder="1" applyAlignment="1" applyProtection="1">
      <alignment horizontal="center" vertical="center" wrapText="1"/>
      <protection locked="0" hidden="1"/>
    </xf>
    <xf numFmtId="0" fontId="0" fillId="3" borderId="38" xfId="0" applyFill="1" applyBorder="1" applyAlignment="1" applyProtection="1">
      <alignment horizontal="center" vertical="center" wrapText="1"/>
      <protection locked="0" hidden="1"/>
    </xf>
    <xf numFmtId="0" fontId="0" fillId="0" borderId="38" xfId="0" applyBorder="1" applyAlignment="1" applyProtection="1">
      <alignment horizontal="center" vertical="center" wrapText="1"/>
      <protection locked="0" hidden="1"/>
    </xf>
    <xf numFmtId="0" fontId="0" fillId="3" borderId="39" xfId="0" applyFill="1" applyBorder="1" applyAlignment="1" applyProtection="1">
      <alignment horizontal="center" vertical="center" wrapText="1"/>
      <protection locked="0" hidden="1"/>
    </xf>
    <xf numFmtId="0" fontId="0" fillId="0" borderId="27" xfId="0" applyBorder="1" applyAlignment="1" applyProtection="1">
      <alignment horizontal="center" vertical="center" wrapText="1"/>
      <protection locked="0" hidden="1"/>
    </xf>
    <xf numFmtId="0" fontId="0" fillId="3" borderId="28" xfId="0" applyFill="1" applyBorder="1" applyAlignment="1" applyProtection="1">
      <alignment horizontal="center" vertical="center" wrapText="1"/>
      <protection locked="0" hidden="1"/>
    </xf>
    <xf numFmtId="0" fontId="0" fillId="0" borderId="28" xfId="0" applyBorder="1" applyAlignment="1" applyProtection="1">
      <alignment horizontal="center" vertical="center" wrapText="1"/>
      <protection locked="0" hidden="1"/>
    </xf>
    <xf numFmtId="0" fontId="0" fillId="3" borderId="40" xfId="0" applyFill="1" applyBorder="1" applyAlignment="1" applyProtection="1">
      <alignment horizontal="center" vertical="center" wrapText="1"/>
      <protection locked="0" hidden="1"/>
    </xf>
    <xf numFmtId="0" fontId="20" fillId="3" borderId="41" xfId="0" applyFont="1" applyFill="1" applyBorder="1" applyAlignment="1" applyProtection="1">
      <alignment horizontal="center" vertical="center" wrapText="1"/>
      <protection locked="0" hidden="1"/>
    </xf>
    <xf numFmtId="0" fontId="20" fillId="0" borderId="41" xfId="0" applyFont="1" applyBorder="1" applyAlignment="1" applyProtection="1">
      <alignment horizontal="center" vertical="center" wrapText="1"/>
      <protection locked="0" hidden="1"/>
    </xf>
    <xf numFmtId="0" fontId="20" fillId="3" borderId="42" xfId="0" applyFont="1" applyFill="1" applyBorder="1" applyAlignment="1" applyProtection="1">
      <alignment horizontal="center" vertical="center" wrapText="1"/>
      <protection locked="0" hidden="1"/>
    </xf>
    <xf numFmtId="0" fontId="4" fillId="2" borderId="5" xfId="0" applyFont="1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horizontal="right"/>
      <protection hidden="1"/>
    </xf>
    <xf numFmtId="0" fontId="0" fillId="3" borderId="28" xfId="0" applyFill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4" fillId="3" borderId="25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right" vertical="center"/>
      <protection hidden="1"/>
    </xf>
    <xf numFmtId="0" fontId="24" fillId="3" borderId="2" xfId="0" applyFont="1" applyFill="1" applyBorder="1" applyProtection="1">
      <protection locked="0" hidden="1"/>
    </xf>
    <xf numFmtId="0" fontId="24" fillId="3" borderId="4" xfId="0" applyFont="1" applyFill="1" applyBorder="1" applyProtection="1">
      <protection locked="0" hidden="1"/>
    </xf>
    <xf numFmtId="0" fontId="24" fillId="3" borderId="7" xfId="0" applyFont="1" applyFill="1" applyBorder="1" applyProtection="1">
      <protection locked="0" hidden="1"/>
    </xf>
    <xf numFmtId="0" fontId="24" fillId="3" borderId="9" xfId="0" applyFont="1" applyFill="1" applyBorder="1" applyProtection="1">
      <protection locked="0" hidden="1"/>
    </xf>
    <xf numFmtId="0" fontId="0" fillId="0" borderId="19" xfId="0" applyFill="1" applyBorder="1" applyAlignment="1" applyProtection="1">
      <alignment horizontal="center" vertical="center" wrapText="1"/>
      <protection locked="0" hidden="1"/>
    </xf>
    <xf numFmtId="0" fontId="4" fillId="2" borderId="5" xfId="0" applyFont="1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horizontal="right"/>
      <protection hidden="1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2" fillId="2" borderId="0" xfId="0" applyFont="1" applyFill="1" applyBorder="1" applyAlignment="1" applyProtection="1">
      <alignment horizontal="center" wrapText="1"/>
      <protection hidden="1"/>
    </xf>
    <xf numFmtId="0" fontId="2" fillId="2" borderId="6" xfId="0" applyFont="1" applyFill="1" applyBorder="1" applyAlignment="1" applyProtection="1">
      <alignment horizontal="center" wrapText="1"/>
      <protection hidden="1"/>
    </xf>
    <xf numFmtId="0" fontId="0" fillId="2" borderId="13" xfId="0" applyFill="1" applyBorder="1" applyAlignment="1" applyProtection="1">
      <alignment horizontal="center"/>
      <protection locked="0" hidden="1"/>
    </xf>
    <xf numFmtId="0" fontId="0" fillId="2" borderId="14" xfId="0" applyFill="1" applyBorder="1" applyAlignment="1" applyProtection="1">
      <alignment horizontal="center"/>
      <protection locked="0" hidden="1"/>
    </xf>
    <xf numFmtId="0" fontId="2" fillId="2" borderId="5" xfId="0" applyFont="1" applyFill="1" applyBorder="1" applyAlignment="1" applyProtection="1">
      <alignment horizontal="right" vertical="top" wrapText="1"/>
      <protection hidden="1"/>
    </xf>
    <xf numFmtId="0" fontId="2" fillId="2" borderId="0" xfId="0" applyFont="1" applyFill="1" applyBorder="1" applyAlignment="1" applyProtection="1">
      <alignment horizontal="right" vertical="top" wrapText="1"/>
      <protection hidden="1"/>
    </xf>
    <xf numFmtId="0" fontId="2" fillId="2" borderId="7" xfId="0" applyFont="1" applyFill="1" applyBorder="1" applyAlignment="1" applyProtection="1">
      <alignment horizontal="right" vertical="top" wrapText="1"/>
      <protection hidden="1"/>
    </xf>
    <xf numFmtId="0" fontId="2" fillId="2" borderId="8" xfId="0" applyFont="1" applyFill="1" applyBorder="1" applyAlignment="1" applyProtection="1">
      <alignment horizontal="right" vertical="top" wrapText="1"/>
      <protection hidden="1"/>
    </xf>
    <xf numFmtId="0" fontId="10" fillId="2" borderId="0" xfId="1" applyFont="1" applyFill="1" applyBorder="1" applyAlignment="1" applyProtection="1">
      <alignment horizontal="left" vertical="top" wrapText="1"/>
      <protection hidden="1"/>
    </xf>
    <xf numFmtId="0" fontId="11" fillId="2" borderId="0" xfId="0" applyFont="1" applyFill="1" applyBorder="1" applyAlignment="1" applyProtection="1">
      <alignment horizontal="left" vertical="top" wrapText="1"/>
      <protection hidden="1"/>
    </xf>
    <xf numFmtId="0" fontId="11" fillId="2" borderId="6" xfId="0" applyFont="1" applyFill="1" applyBorder="1" applyAlignment="1" applyProtection="1">
      <alignment horizontal="left" vertical="top" wrapText="1"/>
      <protection hidden="1"/>
    </xf>
    <xf numFmtId="0" fontId="11" fillId="2" borderId="8" xfId="0" applyFont="1" applyFill="1" applyBorder="1" applyAlignment="1" applyProtection="1">
      <alignment horizontal="left" vertical="top" wrapText="1"/>
      <protection hidden="1"/>
    </xf>
    <xf numFmtId="0" fontId="11" fillId="2" borderId="9" xfId="0" applyFont="1" applyFill="1" applyBorder="1" applyAlignment="1" applyProtection="1">
      <alignment horizontal="left" vertical="top" wrapText="1"/>
      <protection hidden="1"/>
    </xf>
    <xf numFmtId="0" fontId="1" fillId="2" borderId="2" xfId="0" applyFont="1" applyFill="1" applyBorder="1" applyAlignment="1" applyProtection="1">
      <alignment horizontal="left" vertical="top" wrapText="1"/>
      <protection hidden="1"/>
    </xf>
    <xf numFmtId="0" fontId="1" fillId="2" borderId="3" xfId="0" applyFont="1" applyFill="1" applyBorder="1" applyAlignment="1" applyProtection="1">
      <alignment horizontal="left" vertical="top" wrapText="1"/>
      <protection hidden="1"/>
    </xf>
    <xf numFmtId="0" fontId="1" fillId="2" borderId="4" xfId="0" applyFont="1" applyFill="1" applyBorder="1" applyAlignment="1" applyProtection="1">
      <alignment horizontal="left" vertical="top" wrapText="1"/>
      <protection hidden="1"/>
    </xf>
    <xf numFmtId="0" fontId="1" fillId="2" borderId="5" xfId="0" applyFont="1" applyFill="1" applyBorder="1" applyAlignment="1" applyProtection="1">
      <alignment horizontal="left" vertical="top" wrapText="1"/>
      <protection hidden="1"/>
    </xf>
    <xf numFmtId="0" fontId="1" fillId="2" borderId="0" xfId="0" applyFont="1" applyFill="1" applyBorder="1" applyAlignment="1" applyProtection="1">
      <alignment horizontal="left" vertical="top" wrapText="1"/>
      <protection hidden="1"/>
    </xf>
    <xf numFmtId="0" fontId="1" fillId="2" borderId="6" xfId="0" applyFont="1" applyFill="1" applyBorder="1" applyAlignment="1" applyProtection="1">
      <alignment horizontal="left" vertical="top" wrapText="1"/>
      <protection hidden="1"/>
    </xf>
    <xf numFmtId="0" fontId="4" fillId="2" borderId="21" xfId="0" applyFont="1" applyFill="1" applyBorder="1" applyAlignment="1" applyProtection="1">
      <alignment horizontal="right"/>
      <protection hidden="1"/>
    </xf>
    <xf numFmtId="0" fontId="0" fillId="2" borderId="13" xfId="0" applyFill="1" applyBorder="1" applyAlignment="1" applyProtection="1">
      <alignment horizontal="center"/>
      <protection hidden="1"/>
    </xf>
    <xf numFmtId="0" fontId="0" fillId="2" borderId="14" xfId="0" applyFill="1" applyBorder="1" applyAlignment="1" applyProtection="1">
      <alignment horizontal="center"/>
      <protection hidden="1"/>
    </xf>
    <xf numFmtId="14" fontId="0" fillId="2" borderId="13" xfId="0" applyNumberFormat="1" applyFont="1" applyFill="1" applyBorder="1" applyAlignment="1" applyProtection="1">
      <alignment horizontal="center"/>
      <protection hidden="1"/>
    </xf>
    <xf numFmtId="0" fontId="0" fillId="2" borderId="14" xfId="0" applyFont="1" applyFill="1" applyBorder="1" applyAlignment="1" applyProtection="1">
      <alignment horizontal="center"/>
      <protection hidden="1"/>
    </xf>
    <xf numFmtId="0" fontId="0" fillId="2" borderId="13" xfId="0" applyFont="1" applyFill="1" applyBorder="1" applyAlignment="1" applyProtection="1">
      <alignment horizontal="center"/>
      <protection hidden="1"/>
    </xf>
    <xf numFmtId="0" fontId="10" fillId="2" borderId="6" xfId="1" applyFont="1" applyFill="1" applyBorder="1" applyAlignment="1" applyProtection="1">
      <alignment horizontal="left" vertical="top" wrapText="1"/>
      <protection hidden="1"/>
    </xf>
    <xf numFmtId="0" fontId="10" fillId="2" borderId="8" xfId="1" applyFont="1" applyFill="1" applyBorder="1" applyAlignment="1" applyProtection="1">
      <alignment horizontal="left" vertical="top" wrapText="1"/>
      <protection hidden="1"/>
    </xf>
    <xf numFmtId="0" fontId="10" fillId="2" borderId="9" xfId="1" applyFont="1" applyFill="1" applyBorder="1" applyAlignment="1" applyProtection="1">
      <alignment horizontal="left" vertical="top" wrapText="1"/>
      <protection hidden="1"/>
    </xf>
    <xf numFmtId="0" fontId="0" fillId="2" borderId="32" xfId="0" applyNumberFormat="1" applyFill="1" applyBorder="1" applyAlignment="1" applyProtection="1">
      <alignment horizontal="center" vertical="center"/>
      <protection hidden="1"/>
    </xf>
    <xf numFmtId="0" fontId="0" fillId="2" borderId="13" xfId="0" applyNumberFormat="1" applyFill="1" applyBorder="1" applyAlignment="1" applyProtection="1">
      <alignment horizontal="center" vertical="center"/>
      <protection hidden="1"/>
    </xf>
    <xf numFmtId="0" fontId="0" fillId="2" borderId="14" xfId="0" applyNumberForma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4" fillId="3" borderId="25" xfId="0" applyFont="1" applyFill="1" applyBorder="1" applyAlignment="1" applyProtection="1">
      <alignment horizontal="center" vertical="center" wrapText="1"/>
      <protection hidden="1"/>
    </xf>
    <xf numFmtId="0" fontId="4" fillId="3" borderId="24" xfId="0" applyFont="1" applyFill="1" applyBorder="1" applyAlignment="1" applyProtection="1">
      <alignment horizontal="center" vertical="center" wrapText="1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28" xfId="0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15" fillId="2" borderId="5" xfId="0" applyFont="1" applyFill="1" applyBorder="1" applyAlignment="1" applyProtection="1">
      <alignment horizontal="right" vertical="top" wrapText="1"/>
      <protection hidden="1"/>
    </xf>
    <xf numFmtId="0" fontId="15" fillId="2" borderId="0" xfId="0" applyFont="1" applyFill="1" applyBorder="1" applyAlignment="1" applyProtection="1">
      <alignment horizontal="right" vertical="top" wrapText="1"/>
      <protection hidden="1"/>
    </xf>
    <xf numFmtId="0" fontId="15" fillId="2" borderId="7" xfId="0" applyFont="1" applyFill="1" applyBorder="1" applyAlignment="1" applyProtection="1">
      <alignment horizontal="right" vertical="top" wrapText="1"/>
      <protection hidden="1"/>
    </xf>
    <xf numFmtId="0" fontId="15" fillId="2" borderId="8" xfId="0" applyFont="1" applyFill="1" applyBorder="1" applyAlignment="1" applyProtection="1">
      <alignment horizontal="right" vertical="top" wrapText="1"/>
      <protection hidden="1"/>
    </xf>
    <xf numFmtId="0" fontId="18" fillId="2" borderId="0" xfId="1" applyFont="1" applyFill="1" applyBorder="1" applyAlignment="1" applyProtection="1">
      <alignment horizontal="left" vertical="top" wrapText="1"/>
      <protection hidden="1"/>
    </xf>
    <xf numFmtId="0" fontId="18" fillId="2" borderId="6" xfId="1" applyFont="1" applyFill="1" applyBorder="1" applyAlignment="1" applyProtection="1">
      <alignment horizontal="left" vertical="top" wrapText="1"/>
      <protection hidden="1"/>
    </xf>
    <xf numFmtId="0" fontId="18" fillId="2" borderId="8" xfId="1" applyFont="1" applyFill="1" applyBorder="1" applyAlignment="1" applyProtection="1">
      <alignment horizontal="left" vertical="top" wrapText="1"/>
      <protection hidden="1"/>
    </xf>
    <xf numFmtId="0" fontId="18" fillId="2" borderId="9" xfId="1" applyFont="1" applyFill="1" applyBorder="1" applyAlignment="1" applyProtection="1">
      <alignment horizontal="left" vertical="top" wrapText="1"/>
      <protection hidden="1"/>
    </xf>
    <xf numFmtId="0" fontId="0" fillId="2" borderId="2" xfId="0" applyFont="1" applyFill="1" applyBorder="1" applyAlignment="1" applyProtection="1">
      <alignment horizontal="left" vertical="top" wrapText="1"/>
      <protection hidden="1"/>
    </xf>
    <xf numFmtId="0" fontId="0" fillId="2" borderId="3" xfId="0" applyFont="1" applyFill="1" applyBorder="1" applyAlignment="1" applyProtection="1">
      <alignment horizontal="left" vertical="top"/>
      <protection hidden="1"/>
    </xf>
    <xf numFmtId="0" fontId="0" fillId="2" borderId="4" xfId="0" applyFont="1" applyFill="1" applyBorder="1" applyAlignment="1" applyProtection="1">
      <alignment horizontal="left" vertical="top"/>
      <protection hidden="1"/>
    </xf>
    <xf numFmtId="0" fontId="0" fillId="2" borderId="5" xfId="0" applyFont="1" applyFill="1" applyBorder="1" applyAlignment="1" applyProtection="1">
      <alignment horizontal="left" vertical="top"/>
      <protection hidden="1"/>
    </xf>
    <xf numFmtId="0" fontId="0" fillId="2" borderId="0" xfId="0" applyFont="1" applyFill="1" applyBorder="1" applyAlignment="1" applyProtection="1">
      <alignment horizontal="left" vertical="top"/>
      <protection hidden="1"/>
    </xf>
    <xf numFmtId="0" fontId="0" fillId="2" borderId="6" xfId="0" applyFont="1" applyFill="1" applyBorder="1" applyAlignment="1" applyProtection="1">
      <alignment horizontal="left" vertical="top"/>
      <protection hidden="1"/>
    </xf>
    <xf numFmtId="0" fontId="0" fillId="2" borderId="7" xfId="0" applyFont="1" applyFill="1" applyBorder="1" applyAlignment="1" applyProtection="1">
      <alignment horizontal="left" vertical="top"/>
      <protection hidden="1"/>
    </xf>
    <xf numFmtId="0" fontId="0" fillId="2" borderId="8" xfId="0" applyFont="1" applyFill="1" applyBorder="1" applyAlignment="1" applyProtection="1">
      <alignment horizontal="left" vertical="top"/>
      <protection hidden="1"/>
    </xf>
    <xf numFmtId="0" fontId="0" fillId="2" borderId="9" xfId="0" applyFont="1" applyFill="1" applyBorder="1" applyAlignment="1" applyProtection="1">
      <alignment horizontal="left" vertical="top"/>
      <protection hidden="1"/>
    </xf>
    <xf numFmtId="0" fontId="15" fillId="2" borderId="2" xfId="0" applyFont="1" applyFill="1" applyBorder="1" applyAlignment="1" applyProtection="1">
      <alignment horizontal="center" wrapText="1"/>
      <protection hidden="1"/>
    </xf>
    <xf numFmtId="0" fontId="15" fillId="2" borderId="3" xfId="0" applyFont="1" applyFill="1" applyBorder="1" applyAlignment="1" applyProtection="1">
      <alignment horizontal="center" wrapText="1"/>
      <protection hidden="1"/>
    </xf>
    <xf numFmtId="0" fontId="15" fillId="2" borderId="4" xfId="0" applyFont="1" applyFill="1" applyBorder="1" applyAlignment="1" applyProtection="1">
      <alignment horizontal="center" wrapText="1"/>
      <protection hidden="1"/>
    </xf>
    <xf numFmtId="0" fontId="0" fillId="0" borderId="12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Hyperlink" xfId="1" builtinId="8"/>
    <cellStyle name="Normal" xfId="0" builtinId="0"/>
  </cellStyles>
  <dxfs count="3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1000125</xdr:colOff>
      <xdr:row>1</xdr:row>
      <xdr:rowOff>123826</xdr:rowOff>
    </xdr:from>
    <xdr:to>
      <xdr:col>13</xdr:col>
      <xdr:colOff>1016408</xdr:colOff>
      <xdr:row>5</xdr:row>
      <xdr:rowOff>133351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314326"/>
          <a:ext cx="2102258" cy="8572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</xdr:row>
          <xdr:rowOff>161925</xdr:rowOff>
        </xdr:from>
        <xdr:to>
          <xdr:col>10</xdr:col>
          <xdr:colOff>971550</xdr:colOff>
          <xdr:row>7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CRN Approval Required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428626</xdr:colOff>
      <xdr:row>1</xdr:row>
      <xdr:rowOff>171450</xdr:rowOff>
    </xdr:from>
    <xdr:to>
      <xdr:col>15</xdr:col>
      <xdr:colOff>1130709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2476" y="361950"/>
          <a:ext cx="2092733" cy="85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865145</xdr:colOff>
      <xdr:row>1</xdr:row>
      <xdr:rowOff>0</xdr:rowOff>
    </xdr:from>
    <xdr:to>
      <xdr:col>8</xdr:col>
      <xdr:colOff>1996</xdr:colOff>
      <xdr:row>3</xdr:row>
      <xdr:rowOff>219075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6770" y="200025"/>
          <a:ext cx="186100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stomerservice@onicon.com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ustomerservice@onicon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ustomerservice@onicon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4"/>
  <sheetViews>
    <sheetView showGridLines="0" tabSelected="1" zoomScaleNormal="100" workbookViewId="0">
      <selection activeCell="D4" sqref="D4:E4"/>
    </sheetView>
  </sheetViews>
  <sheetFormatPr defaultColWidth="9.140625" defaultRowHeight="15" x14ac:dyDescent="0.25"/>
  <cols>
    <col min="1" max="1" width="2.85546875" style="18" customWidth="1"/>
    <col min="2" max="2" width="9.140625" style="18"/>
    <col min="3" max="3" width="23.5703125" style="18" bestFit="1" customWidth="1"/>
    <col min="4" max="4" width="13.7109375" style="18" bestFit="1" customWidth="1"/>
    <col min="5" max="5" width="26.5703125" style="18" customWidth="1"/>
    <col min="6" max="6" width="9.140625" style="18"/>
    <col min="7" max="7" width="18.28515625" style="18" customWidth="1"/>
    <col min="8" max="8" width="25.7109375" style="18" customWidth="1"/>
    <col min="9" max="9" width="18" style="18" customWidth="1"/>
    <col min="10" max="10" width="9.140625" style="18"/>
    <col min="11" max="11" width="14.85546875" style="18" customWidth="1"/>
    <col min="12" max="12" width="19.140625" style="18" customWidth="1"/>
    <col min="13" max="13" width="12.140625" style="18" customWidth="1"/>
    <col min="14" max="14" width="17.140625" style="18" customWidth="1"/>
    <col min="15" max="16384" width="9.140625" style="18"/>
  </cols>
  <sheetData>
    <row r="1" spans="2:14" ht="15" customHeight="1" thickBot="1" x14ac:dyDescent="0.3"/>
    <row r="2" spans="2:14" ht="21" x14ac:dyDescent="0.35">
      <c r="B2" s="36" t="s">
        <v>0</v>
      </c>
      <c r="C2" s="37"/>
      <c r="D2" s="37"/>
      <c r="E2" s="37"/>
      <c r="F2" s="19"/>
      <c r="G2" s="19"/>
      <c r="H2" s="19"/>
      <c r="I2" s="19"/>
      <c r="J2" s="19"/>
      <c r="K2" s="19"/>
      <c r="L2" s="19"/>
      <c r="M2" s="19"/>
      <c r="N2" s="20"/>
    </row>
    <row r="3" spans="2:14" x14ac:dyDescent="0.25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</row>
    <row r="4" spans="2:14" x14ac:dyDescent="0.25">
      <c r="B4" s="141" t="s">
        <v>1</v>
      </c>
      <c r="C4" s="142"/>
      <c r="D4" s="146"/>
      <c r="E4" s="147"/>
      <c r="F4" s="142" t="s">
        <v>5</v>
      </c>
      <c r="G4" s="142"/>
      <c r="H4" s="4"/>
      <c r="I4" s="24"/>
      <c r="J4" s="22"/>
      <c r="K4" s="22"/>
      <c r="L4" s="22"/>
      <c r="M4" s="22"/>
      <c r="N4" s="23"/>
    </row>
    <row r="5" spans="2:14" ht="15.75" thickBot="1" x14ac:dyDescent="0.3">
      <c r="B5" s="141" t="s">
        <v>2</v>
      </c>
      <c r="C5" s="142"/>
      <c r="D5" s="146"/>
      <c r="E5" s="147"/>
      <c r="F5" s="142" t="s">
        <v>6</v>
      </c>
      <c r="G5" s="142"/>
      <c r="H5" s="5"/>
      <c r="I5" s="25"/>
      <c r="J5" s="22"/>
      <c r="K5" s="22"/>
      <c r="L5" s="22"/>
      <c r="M5" s="22"/>
      <c r="N5" s="23"/>
    </row>
    <row r="6" spans="2:14" ht="15.75" x14ac:dyDescent="0.25">
      <c r="B6" s="141" t="s">
        <v>3</v>
      </c>
      <c r="C6" s="142"/>
      <c r="D6" s="146"/>
      <c r="E6" s="147"/>
      <c r="F6" s="142" t="s">
        <v>7</v>
      </c>
      <c r="G6" s="142"/>
      <c r="H6" s="4"/>
      <c r="I6" s="24"/>
      <c r="J6" s="136"/>
      <c r="K6" s="137"/>
      <c r="L6" s="22"/>
      <c r="M6" s="22"/>
      <c r="N6" s="23"/>
    </row>
    <row r="7" spans="2:14" ht="16.5" thickBot="1" x14ac:dyDescent="0.3">
      <c r="B7" s="141" t="s">
        <v>4</v>
      </c>
      <c r="C7" s="142"/>
      <c r="D7" s="146"/>
      <c r="E7" s="147"/>
      <c r="F7" s="142" t="s">
        <v>8</v>
      </c>
      <c r="G7" s="142"/>
      <c r="H7" s="5"/>
      <c r="I7" s="25"/>
      <c r="J7" s="138"/>
      <c r="K7" s="139"/>
      <c r="L7" s="22"/>
      <c r="M7" s="22"/>
      <c r="N7" s="23"/>
    </row>
    <row r="8" spans="2:14" x14ac:dyDescent="0.25">
      <c r="B8" s="141" t="s">
        <v>10</v>
      </c>
      <c r="C8" s="142"/>
      <c r="D8" s="146"/>
      <c r="E8" s="147"/>
      <c r="F8" s="22"/>
      <c r="G8" s="77" t="s">
        <v>389</v>
      </c>
      <c r="H8" s="79"/>
      <c r="I8" s="22"/>
      <c r="L8" s="22"/>
      <c r="M8" s="22"/>
      <c r="N8" s="23"/>
    </row>
    <row r="9" spans="2:14" x14ac:dyDescent="0.25">
      <c r="B9" s="129"/>
      <c r="C9" s="130"/>
      <c r="D9" s="78"/>
      <c r="E9" s="78"/>
      <c r="F9" s="22"/>
      <c r="G9" s="77" t="str">
        <f>IF(H8="Yes","Ship Kits Via:","")</f>
        <v/>
      </c>
      <c r="H9" s="82"/>
      <c r="I9" s="22"/>
      <c r="J9" s="22"/>
      <c r="K9" s="22"/>
      <c r="L9" s="22"/>
      <c r="M9" s="22"/>
      <c r="N9" s="23"/>
    </row>
    <row r="10" spans="2:14" ht="15.75" thickBot="1" x14ac:dyDescent="0.3"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</row>
    <row r="11" spans="2:14" s="29" customFormat="1" ht="45" customHeight="1" thickBot="1" x14ac:dyDescent="0.3">
      <c r="B11" s="31" t="s">
        <v>9</v>
      </c>
      <c r="C11" s="75" t="s">
        <v>20</v>
      </c>
      <c r="D11" s="75" t="s">
        <v>36</v>
      </c>
      <c r="E11" s="75" t="s">
        <v>12</v>
      </c>
      <c r="F11" s="75" t="s">
        <v>13</v>
      </c>
      <c r="G11" s="75" t="s">
        <v>120</v>
      </c>
      <c r="H11" s="75" t="s">
        <v>14</v>
      </c>
      <c r="I11" s="75" t="s">
        <v>541</v>
      </c>
      <c r="J11" s="75" t="s">
        <v>119</v>
      </c>
      <c r="K11" s="75" t="s">
        <v>449</v>
      </c>
      <c r="L11" s="75" t="s">
        <v>18</v>
      </c>
      <c r="M11" s="75" t="s">
        <v>393</v>
      </c>
      <c r="N11" s="75" t="s">
        <v>19</v>
      </c>
    </row>
    <row r="12" spans="2:14" ht="30" customHeight="1" x14ac:dyDescent="0.25">
      <c r="B12" s="32">
        <v>1</v>
      </c>
      <c r="C12" s="6"/>
      <c r="D12" s="6"/>
      <c r="E12" s="6"/>
      <c r="F12" s="10" t="s">
        <v>43</v>
      </c>
      <c r="G12" s="10" t="s">
        <v>137</v>
      </c>
      <c r="H12" s="6"/>
      <c r="I12" s="6"/>
      <c r="J12" s="6"/>
      <c r="K12" s="6"/>
      <c r="L12" s="10" t="str">
        <f>IF(OR(C12="",D12="",E12="",F12="",G12="",H12="",I12="",J12="",K12=""),"Form Not Complete",Reference!X20)</f>
        <v>Form Not Complete</v>
      </c>
      <c r="M12" s="140" t="str">
        <f t="shared" ref="M12:M14" si="0">IF(RIGHT(D12,1)="e","No","")</f>
        <v/>
      </c>
      <c r="N12" s="11" t="str">
        <f>IF(L12="Form Not Complete",L12,IF(L12="Configuration Not Valid",L12,VLOOKUP('Model Selection'!L12,'Part Number Lookup'!$A$2:$D$97,2,FALSE)&amp;"/"&amp;VLOOKUP('Model Selection'!L12,'Part Number Lookup'!$A$2:$D$97,3,FALSE)))</f>
        <v>Form Not Complete</v>
      </c>
    </row>
    <row r="13" spans="2:14" ht="30" customHeight="1" x14ac:dyDescent="0.25">
      <c r="B13" s="33">
        <v>2</v>
      </c>
      <c r="C13" s="7"/>
      <c r="D13" s="7"/>
      <c r="E13" s="7"/>
      <c r="F13" s="12" t="s">
        <v>43</v>
      </c>
      <c r="G13" s="12" t="s">
        <v>137</v>
      </c>
      <c r="H13" s="7"/>
      <c r="I13" s="7"/>
      <c r="J13" s="7"/>
      <c r="K13" s="7"/>
      <c r="L13" s="12" t="str">
        <f>IF(OR(C13="",D13="",E13="",F13="",G13="",H13="",I13="",J13="",K13=""),"Form Not Complete",Reference!X21)</f>
        <v>Form Not Complete</v>
      </c>
      <c r="M13" s="7" t="str">
        <f t="shared" si="0"/>
        <v/>
      </c>
      <c r="N13" s="13" t="str">
        <f>IF(L13="Form Not Complete",L13,IF(L13="Configuration Not Valid",L13,VLOOKUP('Model Selection'!L13,'Part Number Lookup'!$A$2:$D$97,2,FALSE)&amp;"/"&amp;VLOOKUP('Model Selection'!L13,'Part Number Lookup'!$A$2:$D$97,3,FALSE)))</f>
        <v>Form Not Complete</v>
      </c>
    </row>
    <row r="14" spans="2:14" ht="30" customHeight="1" x14ac:dyDescent="0.25">
      <c r="B14" s="34">
        <v>3</v>
      </c>
      <c r="C14" s="8"/>
      <c r="D14" s="8"/>
      <c r="E14" s="8"/>
      <c r="F14" s="14" t="s">
        <v>43</v>
      </c>
      <c r="G14" s="14" t="s">
        <v>137</v>
      </c>
      <c r="H14" s="8"/>
      <c r="I14" s="8"/>
      <c r="J14" s="8"/>
      <c r="K14" s="8"/>
      <c r="L14" s="14" t="str">
        <f>IF(OR(C14="",D14="",E14="",F14="",G14="",H14="",I14="",J14="",K14=""),"Form Not Complete",Reference!X22)</f>
        <v>Form Not Complete</v>
      </c>
      <c r="M14" s="140" t="str">
        <f t="shared" si="0"/>
        <v/>
      </c>
      <c r="N14" s="15" t="str">
        <f>IF(L14="Form Not Complete",L14,IF(L14="Configuration Not Valid",L14,VLOOKUP('Model Selection'!L14,'Part Number Lookup'!$A$2:$D$97,2,FALSE)&amp;"/"&amp;VLOOKUP('Model Selection'!L14,'Part Number Lookup'!$A$2:$D$97,3,FALSE)))</f>
        <v>Form Not Complete</v>
      </c>
    </row>
    <row r="15" spans="2:14" ht="30" customHeight="1" x14ac:dyDescent="0.25">
      <c r="B15" s="33">
        <v>4</v>
      </c>
      <c r="C15" s="7"/>
      <c r="D15" s="7"/>
      <c r="E15" s="7"/>
      <c r="F15" s="12" t="s">
        <v>43</v>
      </c>
      <c r="G15" s="12" t="s">
        <v>137</v>
      </c>
      <c r="H15" s="7"/>
      <c r="I15" s="7"/>
      <c r="J15" s="7"/>
      <c r="K15" s="7"/>
      <c r="L15" s="12" t="str">
        <f>IF(OR(C15="",D15="",E15="",F15="",G15="",H15="",I15="",J15="",K15=""),"Form Not Complete",Reference!X23)</f>
        <v>Form Not Complete</v>
      </c>
      <c r="M15" s="7" t="str">
        <f t="shared" ref="M15:M21" si="1">IF(RIGHT(D15,1)="e","No","")</f>
        <v/>
      </c>
      <c r="N15" s="13" t="str">
        <f>IF(L15="Form Not Complete",L15,IF(L15="Configuration Not Valid",L15,VLOOKUP('Model Selection'!L15,'Part Number Lookup'!$A$2:$D$97,2,FALSE)&amp;"/"&amp;VLOOKUP('Model Selection'!L15,'Part Number Lookup'!$A$2:$D$97,3,FALSE)))</f>
        <v>Form Not Complete</v>
      </c>
    </row>
    <row r="16" spans="2:14" ht="30" customHeight="1" x14ac:dyDescent="0.25">
      <c r="B16" s="34">
        <v>5</v>
      </c>
      <c r="C16" s="8"/>
      <c r="D16" s="8"/>
      <c r="E16" s="8"/>
      <c r="F16" s="14" t="s">
        <v>43</v>
      </c>
      <c r="G16" s="14" t="s">
        <v>137</v>
      </c>
      <c r="H16" s="8"/>
      <c r="I16" s="8"/>
      <c r="J16" s="8"/>
      <c r="K16" s="8"/>
      <c r="L16" s="14" t="str">
        <f>IF(OR(C16="",D16="",E16="",F16="",G16="",H16="",I16="",J16="",K16=""),"Form Not Complete",Reference!X24)</f>
        <v>Form Not Complete</v>
      </c>
      <c r="M16" s="8" t="str">
        <f t="shared" si="1"/>
        <v/>
      </c>
      <c r="N16" s="15" t="str">
        <f>IF(L16="Form Not Complete",L16,IF(L16="Configuration Not Valid",L16,VLOOKUP('Model Selection'!L16,'Part Number Lookup'!$A$2:$D$97,2,FALSE)&amp;"/"&amp;VLOOKUP('Model Selection'!L16,'Part Number Lookup'!$A$2:$D$97,3,FALSE)))</f>
        <v>Form Not Complete</v>
      </c>
    </row>
    <row r="17" spans="1:14" ht="30" customHeight="1" x14ac:dyDescent="0.25">
      <c r="B17" s="33">
        <v>6</v>
      </c>
      <c r="C17" s="7"/>
      <c r="D17" s="7"/>
      <c r="E17" s="7"/>
      <c r="F17" s="12" t="s">
        <v>43</v>
      </c>
      <c r="G17" s="12" t="s">
        <v>137</v>
      </c>
      <c r="H17" s="7"/>
      <c r="I17" s="7"/>
      <c r="J17" s="7"/>
      <c r="K17" s="7"/>
      <c r="L17" s="12" t="str">
        <f>IF(OR(C17="",D17="",E17="",F17="",G17="",H17="",I17="",J17="",K17=""),"Form Not Complete",Reference!X25)</f>
        <v>Form Not Complete</v>
      </c>
      <c r="M17" s="7" t="str">
        <f t="shared" si="1"/>
        <v/>
      </c>
      <c r="N17" s="13" t="str">
        <f>IF(L17="Form Not Complete",L17,IF(L17="Configuration Not Valid",L17,VLOOKUP('Model Selection'!L17,'Part Number Lookup'!$A$2:$D$97,2,FALSE)&amp;"/"&amp;VLOOKUP('Model Selection'!L17,'Part Number Lookup'!$A$2:$D$97,3,FALSE)))</f>
        <v>Form Not Complete</v>
      </c>
    </row>
    <row r="18" spans="1:14" ht="30" customHeight="1" x14ac:dyDescent="0.25">
      <c r="B18" s="34">
        <v>7</v>
      </c>
      <c r="C18" s="8"/>
      <c r="D18" s="8"/>
      <c r="E18" s="8"/>
      <c r="F18" s="14" t="s">
        <v>43</v>
      </c>
      <c r="G18" s="14" t="s">
        <v>137</v>
      </c>
      <c r="H18" s="8"/>
      <c r="I18" s="8"/>
      <c r="J18" s="8"/>
      <c r="K18" s="8"/>
      <c r="L18" s="14" t="str">
        <f>IF(OR(C18="",D18="",E18="",F18="",G18="",H18="",I18="",J18="",K18=""),"Form Not Complete",Reference!X26)</f>
        <v>Form Not Complete</v>
      </c>
      <c r="M18" s="8" t="str">
        <f t="shared" si="1"/>
        <v/>
      </c>
      <c r="N18" s="15" t="str">
        <f>IF(L18="Form Not Complete",L18,IF(L18="Configuration Not Valid",L18,VLOOKUP('Model Selection'!L18,'Part Number Lookup'!$A$2:$D$97,2,FALSE)&amp;"/"&amp;VLOOKUP('Model Selection'!L18,'Part Number Lookup'!$A$2:$D$97,3,FALSE)))</f>
        <v>Form Not Complete</v>
      </c>
    </row>
    <row r="19" spans="1:14" ht="30" customHeight="1" x14ac:dyDescent="0.25">
      <c r="B19" s="33">
        <v>8</v>
      </c>
      <c r="C19" s="7"/>
      <c r="D19" s="7"/>
      <c r="E19" s="7"/>
      <c r="F19" s="12" t="s">
        <v>43</v>
      </c>
      <c r="G19" s="12" t="s">
        <v>137</v>
      </c>
      <c r="H19" s="7"/>
      <c r="I19" s="7"/>
      <c r="J19" s="7"/>
      <c r="K19" s="7"/>
      <c r="L19" s="12" t="str">
        <f>IF(OR(C19="",D19="",E19="",F19="",G19="",H19="",I19="",J19="",K19=""),"Form Not Complete",Reference!X27)</f>
        <v>Form Not Complete</v>
      </c>
      <c r="M19" s="7" t="str">
        <f t="shared" si="1"/>
        <v/>
      </c>
      <c r="N19" s="13" t="str">
        <f>IF(L19="Form Not Complete",L19,IF(L19="Configuration Not Valid",L19,VLOOKUP('Model Selection'!L19,'Part Number Lookup'!$A$2:$D$97,2,FALSE)&amp;"/"&amp;VLOOKUP('Model Selection'!L19,'Part Number Lookup'!$A$2:$D$97,3,FALSE)))</f>
        <v>Form Not Complete</v>
      </c>
    </row>
    <row r="20" spans="1:14" ht="30" customHeight="1" x14ac:dyDescent="0.25">
      <c r="B20" s="34">
        <v>9</v>
      </c>
      <c r="C20" s="8"/>
      <c r="D20" s="8"/>
      <c r="E20" s="8"/>
      <c r="F20" s="14" t="s">
        <v>43</v>
      </c>
      <c r="G20" s="14" t="s">
        <v>137</v>
      </c>
      <c r="H20" s="8"/>
      <c r="I20" s="8"/>
      <c r="J20" s="8"/>
      <c r="K20" s="8"/>
      <c r="L20" s="14" t="str">
        <f>IF(OR(C20="",D20="",E20="",F20="",G20="",H20="",I20="",J20="",K20=""),"Form Not Complete",Reference!X28)</f>
        <v>Form Not Complete</v>
      </c>
      <c r="M20" s="8" t="str">
        <f t="shared" si="1"/>
        <v/>
      </c>
      <c r="N20" s="15" t="str">
        <f>IF(L20="Form Not Complete",L20,IF(L20="Configuration Not Valid",L20,VLOOKUP('Model Selection'!L20,'Part Number Lookup'!$A$2:$D$97,2,FALSE)&amp;"/"&amp;VLOOKUP('Model Selection'!L20,'Part Number Lookup'!$A$2:$D$97,3,FALSE)))</f>
        <v>Form Not Complete</v>
      </c>
    </row>
    <row r="21" spans="1:14" ht="30" customHeight="1" thickBot="1" x14ac:dyDescent="0.3">
      <c r="B21" s="35">
        <v>10</v>
      </c>
      <c r="C21" s="9"/>
      <c r="D21" s="9"/>
      <c r="E21" s="9"/>
      <c r="F21" s="16" t="s">
        <v>43</v>
      </c>
      <c r="G21" s="16" t="s">
        <v>137</v>
      </c>
      <c r="H21" s="9"/>
      <c r="I21" s="9"/>
      <c r="J21" s="9"/>
      <c r="K21" s="9"/>
      <c r="L21" s="16" t="str">
        <f>IF(OR(C21="",D21="",E21="",F21="",G21="",H21="",I21="",J21="",K21=""),"Form Not Complete",Reference!X29)</f>
        <v>Form Not Complete</v>
      </c>
      <c r="M21" s="9" t="str">
        <f t="shared" si="1"/>
        <v/>
      </c>
      <c r="N21" s="17" t="str">
        <f>IF(L21="Form Not Complete",L21,IF(L21="Configuration Not Valid",L21,VLOOKUP('Model Selection'!L21,'Part Number Lookup'!$A$2:$D$97,2,FALSE)&amp;"/"&amp;VLOOKUP('Model Selection'!L21,'Part Number Lookup'!$A$2:$D$97,3,FALSE)))</f>
        <v>Form Not Complete</v>
      </c>
    </row>
    <row r="22" spans="1:14" ht="15" customHeight="1" x14ac:dyDescent="0.25">
      <c r="A22" s="30"/>
      <c r="B22" s="157" t="s">
        <v>542</v>
      </c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9"/>
    </row>
    <row r="23" spans="1:14" ht="15" customHeight="1" x14ac:dyDescent="0.25">
      <c r="A23" s="30"/>
      <c r="B23" s="160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2"/>
    </row>
    <row r="24" spans="1:14" x14ac:dyDescent="0.25">
      <c r="A24" s="30"/>
      <c r="B24" s="160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2"/>
    </row>
    <row r="25" spans="1:14" x14ac:dyDescent="0.25">
      <c r="A25" s="30"/>
      <c r="B25" s="160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2"/>
    </row>
    <row r="26" spans="1:14" x14ac:dyDescent="0.25">
      <c r="A26" s="30"/>
      <c r="B26" s="160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2"/>
    </row>
    <row r="27" spans="1:14" x14ac:dyDescent="0.25">
      <c r="A27" s="30"/>
      <c r="B27" s="160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2"/>
    </row>
    <row r="28" spans="1:14" x14ac:dyDescent="0.25">
      <c r="A28" s="30"/>
      <c r="B28" s="160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2"/>
    </row>
    <row r="29" spans="1:14" x14ac:dyDescent="0.25">
      <c r="A29" s="30"/>
      <c r="B29" s="160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2"/>
    </row>
    <row r="30" spans="1:14" x14ac:dyDescent="0.25">
      <c r="A30" s="30"/>
      <c r="B30" s="160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2"/>
    </row>
    <row r="31" spans="1:14" ht="18.75" customHeight="1" x14ac:dyDescent="0.25">
      <c r="A31" s="30"/>
      <c r="B31" s="143" t="s">
        <v>86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5"/>
    </row>
    <row r="32" spans="1:14" ht="15" customHeight="1" x14ac:dyDescent="0.25">
      <c r="A32" s="30"/>
      <c r="B32" s="143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5"/>
    </row>
    <row r="33" spans="1:14" ht="15" customHeight="1" x14ac:dyDescent="0.25">
      <c r="A33" s="30"/>
      <c r="B33" s="148" t="s">
        <v>87</v>
      </c>
      <c r="C33" s="149"/>
      <c r="D33" s="149"/>
      <c r="E33" s="149"/>
      <c r="F33" s="149"/>
      <c r="G33" s="149"/>
      <c r="H33" s="152" t="s">
        <v>88</v>
      </c>
      <c r="I33" s="153"/>
      <c r="J33" s="153"/>
      <c r="K33" s="153"/>
      <c r="L33" s="153"/>
      <c r="M33" s="153"/>
      <c r="N33" s="154"/>
    </row>
    <row r="34" spans="1:14" ht="15.75" customHeight="1" thickBot="1" x14ac:dyDescent="0.3">
      <c r="A34" s="30"/>
      <c r="B34" s="150"/>
      <c r="C34" s="151"/>
      <c r="D34" s="151"/>
      <c r="E34" s="151"/>
      <c r="F34" s="151"/>
      <c r="G34" s="151"/>
      <c r="H34" s="155"/>
      <c r="I34" s="155"/>
      <c r="J34" s="155"/>
      <c r="K34" s="155"/>
      <c r="L34" s="155"/>
      <c r="M34" s="155"/>
      <c r="N34" s="156"/>
    </row>
  </sheetData>
  <sheetProtection algorithmName="SHA-512" hashValue="EdBHhzo+j50ZAgRaxTio04g6qX/g+3RZSCekibn9AThaMcwvu3Wlci/9D4iW90ebhAM7vr035mo+WcKqwo4GSA==" saltValue="G1iuyrAwFF2o2icVZza4+A==" spinCount="100000" sheet="1" objects="1" scenarios="1" formatCells="0" formatColumns="0" formatRows="0"/>
  <mergeCells count="18">
    <mergeCell ref="B33:G34"/>
    <mergeCell ref="H33:N34"/>
    <mergeCell ref="B8:C8"/>
    <mergeCell ref="D8:E8"/>
    <mergeCell ref="B22:N30"/>
    <mergeCell ref="B4:C4"/>
    <mergeCell ref="B5:C5"/>
    <mergeCell ref="B6:C6"/>
    <mergeCell ref="B7:C7"/>
    <mergeCell ref="B31:N32"/>
    <mergeCell ref="F4:G4"/>
    <mergeCell ref="F5:G5"/>
    <mergeCell ref="F6:G6"/>
    <mergeCell ref="F7:G7"/>
    <mergeCell ref="D4:E4"/>
    <mergeCell ref="D5:E5"/>
    <mergeCell ref="D6:E6"/>
    <mergeCell ref="D7:E7"/>
  </mergeCells>
  <conditionalFormatting sqref="H9">
    <cfRule type="expression" dxfId="2" priority="1">
      <formula>$H$8="Yes"</formula>
    </cfRule>
  </conditionalFormatting>
  <hyperlinks>
    <hyperlink ref="H33" r:id="rId1" xr:uid="{00000000-0004-0000-0000-000000000000}"/>
  </hyperlinks>
  <pageMargins left="0.25" right="0.25" top="0.75" bottom="0.75" header="0.3" footer="0.3"/>
  <pageSetup scale="61" orientation="landscape" r:id="rId2"/>
  <headerFooter>
    <oddFooter>&amp;RRev 6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9</xdr:col>
                    <xdr:colOff>114300</xdr:colOff>
                    <xdr:row>4</xdr:row>
                    <xdr:rowOff>161925</xdr:rowOff>
                  </from>
                  <to>
                    <xdr:col>10</xdr:col>
                    <xdr:colOff>971550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Reference!$AB$2:$AB$3</xm:f>
          </x14:formula1>
          <xm:sqref>H8</xm:sqref>
        </x14:dataValidation>
        <x14:dataValidation type="list" allowBlank="1" showInputMessage="1" showErrorMessage="1" xr:uid="{00000000-0002-0000-0000-000001000000}">
          <x14:formula1>
            <xm:f>Reference!$A$2:$A$3</xm:f>
          </x14:formula1>
          <xm:sqref>C12:C21</xm:sqref>
        </x14:dataValidation>
        <x14:dataValidation type="list" allowBlank="1" showInputMessage="1" showErrorMessage="1" xr:uid="{00000000-0002-0000-0000-000002000000}">
          <x14:formula1>
            <xm:f>IF(C12=Reference!$A$2,Reference!$I$2,IF(C12=Reference!$A$3,Reference!$I$2:$I$4,""))</xm:f>
          </x14:formula1>
          <xm:sqref>E12:E21</xm:sqref>
        </x14:dataValidation>
        <x14:dataValidation type="list" allowBlank="1" showInputMessage="1" showErrorMessage="1" xr:uid="{00000000-0002-0000-0000-000003000000}">
          <x14:formula1>
            <xm:f>Reference!$C$2:$C$11</xm:f>
          </x14:formula1>
          <xm:sqref>D12:D21</xm:sqref>
        </x14:dataValidation>
        <x14:dataValidation type="list" allowBlank="1" showInputMessage="1" showErrorMessage="1" xr:uid="{00000000-0002-0000-0000-000004000000}">
          <x14:formula1>
            <xm:f>IF(Reference!$D20=Reference!$D$2,Reference!$AC$2:$AC$4,IF(D12="","",Reference!$AC$4))</xm:f>
          </x14:formula1>
          <xm:sqref>M12:M21</xm:sqref>
        </x14:dataValidation>
        <x14:dataValidation type="list" allowBlank="1" showInputMessage="1" showErrorMessage="1" xr:uid="{00000000-0002-0000-0000-000005000000}">
          <x14:formula1>
            <xm:f>IF(Reference!D20="00",Reference!$O$6,IF(Reference!D20="","",Reference!$O$7:$O$8))</xm:f>
          </x14:formula1>
          <xm:sqref>H12:H21</xm:sqref>
        </x14:dataValidation>
        <x14:dataValidation type="list" allowBlank="1" showInputMessage="1" showErrorMessage="1" xr:uid="{00000000-0002-0000-0000-000006000000}">
          <x14:formula1>
            <xm:f>IF(Reference!D20="00",Reference!$Q$2:$Q$3,IF(Reference!D20="","",Reference!$Q$4))</xm:f>
          </x14:formula1>
          <xm:sqref>I12:I21</xm:sqref>
        </x14:dataValidation>
        <x14:dataValidation type="list" allowBlank="1" showInputMessage="1" showErrorMessage="1" xr:uid="{00000000-0002-0000-0000-000007000000}">
          <x14:formula1>
            <xm:f>IF(Reference!D20="00",Reference!$T$3:$T$4,IF(Reference!D20="","",Reference!$T$2))</xm:f>
          </x14:formula1>
          <xm:sqref>J12:J21</xm:sqref>
        </x14:dataValidation>
        <x14:dataValidation type="list" allowBlank="1" showInputMessage="1" showErrorMessage="1" xr:uid="{00000000-0002-0000-0000-000008000000}">
          <x14:formula1>
            <xm:f>IF(Reference!D20="00",Reference!$V$2:$V$3,IF(Reference!D20="","",Reference!$V$4))</xm:f>
          </x14:formula1>
          <xm:sqref>K12:K21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34"/>
  <sheetViews>
    <sheetView showGridLines="0" zoomScaleNormal="100" workbookViewId="0">
      <selection activeCell="D4" sqref="D4:E4"/>
    </sheetView>
  </sheetViews>
  <sheetFormatPr defaultColWidth="9.140625" defaultRowHeight="15" x14ac:dyDescent="0.25"/>
  <cols>
    <col min="1" max="1" width="2.85546875" style="38" customWidth="1"/>
    <col min="2" max="2" width="9.140625" style="38"/>
    <col min="3" max="3" width="23.5703125" style="38" customWidth="1"/>
    <col min="4" max="4" width="26.140625" style="38" customWidth="1"/>
    <col min="5" max="5" width="14.140625" style="38" customWidth="1"/>
    <col min="6" max="6" width="26.7109375" style="38" customWidth="1"/>
    <col min="7" max="8" width="13.28515625" style="38" customWidth="1"/>
    <col min="9" max="11" width="18.85546875" style="38" customWidth="1"/>
    <col min="12" max="13" width="14.7109375" style="38" customWidth="1"/>
    <col min="14" max="14" width="18.28515625" style="38" customWidth="1"/>
    <col min="15" max="15" width="20.85546875" style="38" bestFit="1" customWidth="1"/>
    <col min="16" max="16" width="18.85546875" style="38" customWidth="1"/>
    <col min="17" max="16384" width="9.140625" style="38"/>
  </cols>
  <sheetData>
    <row r="1" spans="2:16" ht="15" customHeight="1" thickBot="1" x14ac:dyDescent="0.3"/>
    <row r="2" spans="2:16" ht="21" x14ac:dyDescent="0.35">
      <c r="B2" s="36" t="s">
        <v>89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9"/>
    </row>
    <row r="3" spans="2:16" x14ac:dyDescent="0.25">
      <c r="B3" s="40"/>
      <c r="C3" s="41"/>
      <c r="D3" s="41"/>
      <c r="E3" s="41"/>
      <c r="F3" s="41"/>
      <c r="G3" s="42"/>
      <c r="H3" s="41"/>
      <c r="I3" s="41"/>
      <c r="J3" s="41"/>
      <c r="K3" s="41"/>
      <c r="L3" s="41"/>
      <c r="M3" s="41"/>
      <c r="N3" s="41"/>
      <c r="O3" s="41"/>
      <c r="P3" s="43"/>
    </row>
    <row r="4" spans="2:16" x14ac:dyDescent="0.25">
      <c r="B4" s="141" t="s">
        <v>1</v>
      </c>
      <c r="C4" s="163"/>
      <c r="D4" s="164" t="str">
        <f>IF('Model Selection'!D4:E4="","",'Model Selection'!D4:E4)</f>
        <v/>
      </c>
      <c r="E4" s="165"/>
      <c r="F4" s="44" t="s">
        <v>5</v>
      </c>
      <c r="G4" s="166" t="str">
        <f>IF('Model Selection'!H4="","",'Model Selection'!H4)</f>
        <v/>
      </c>
      <c r="H4" s="167"/>
      <c r="I4" s="45"/>
      <c r="J4" s="41"/>
      <c r="K4" s="41"/>
      <c r="L4" s="41"/>
      <c r="M4" s="41"/>
      <c r="N4" s="41"/>
      <c r="O4" s="41"/>
      <c r="P4" s="43"/>
    </row>
    <row r="5" spans="2:16" x14ac:dyDescent="0.25">
      <c r="B5" s="141" t="s">
        <v>2</v>
      </c>
      <c r="C5" s="163"/>
      <c r="D5" s="164" t="str">
        <f>IF('Model Selection'!D5:E5="","",'Model Selection'!D5:E5)</f>
        <v/>
      </c>
      <c r="E5" s="165"/>
      <c r="F5" s="44" t="s">
        <v>6</v>
      </c>
      <c r="G5" s="168" t="str">
        <f>IF('Model Selection'!H5="","",'Model Selection'!H5)</f>
        <v/>
      </c>
      <c r="H5" s="167"/>
      <c r="I5" s="46"/>
      <c r="J5" s="41"/>
      <c r="K5" s="41"/>
      <c r="L5" s="41"/>
      <c r="M5" s="41"/>
      <c r="N5" s="41"/>
      <c r="O5" s="41"/>
      <c r="P5" s="43"/>
    </row>
    <row r="6" spans="2:16" x14ac:dyDescent="0.25">
      <c r="B6" s="141" t="s">
        <v>3</v>
      </c>
      <c r="C6" s="163"/>
      <c r="D6" s="164" t="str">
        <f>IF('Model Selection'!D6:E6="","",'Model Selection'!D6:E6)</f>
        <v/>
      </c>
      <c r="E6" s="165"/>
      <c r="F6" s="44" t="s">
        <v>7</v>
      </c>
      <c r="G6" s="168" t="str">
        <f>IF('Model Selection'!H6="","",'Model Selection'!H6)</f>
        <v/>
      </c>
      <c r="H6" s="167"/>
      <c r="I6" s="45"/>
      <c r="J6" s="41"/>
      <c r="K6" s="41"/>
      <c r="L6" s="41"/>
      <c r="M6" s="41"/>
      <c r="N6" s="41"/>
      <c r="O6" s="41"/>
      <c r="P6" s="43"/>
    </row>
    <row r="7" spans="2:16" x14ac:dyDescent="0.25">
      <c r="B7" s="141" t="s">
        <v>4</v>
      </c>
      <c r="C7" s="163"/>
      <c r="D7" s="164" t="str">
        <f>IF('Model Selection'!D7:E7="","",'Model Selection'!D7:E7)</f>
        <v/>
      </c>
      <c r="E7" s="165"/>
      <c r="F7" s="44" t="s">
        <v>8</v>
      </c>
      <c r="G7" s="168" t="str">
        <f>IF('Model Selection'!H7="","",'Model Selection'!H7)</f>
        <v/>
      </c>
      <c r="H7" s="167"/>
      <c r="I7" s="46"/>
      <c r="J7" s="41"/>
      <c r="K7" s="41"/>
      <c r="L7" s="41"/>
      <c r="M7" s="41"/>
      <c r="N7" s="41"/>
      <c r="O7" s="41"/>
      <c r="P7" s="43"/>
    </row>
    <row r="8" spans="2:16" x14ac:dyDescent="0.25">
      <c r="B8" s="141" t="s">
        <v>10</v>
      </c>
      <c r="C8" s="163"/>
      <c r="D8" s="164" t="str">
        <f>IF('Model Selection'!D8:E8="","",'Model Selection'!D8:E8)</f>
        <v/>
      </c>
      <c r="E8" s="165"/>
      <c r="F8" s="130" t="str">
        <f>'Model Selection'!G8</f>
        <v>Ship Kits In Advance?</v>
      </c>
      <c r="G8" s="164" t="str">
        <f>IF('Model Selection'!H8="","",'Model Selection'!H8)</f>
        <v/>
      </c>
      <c r="H8" s="165"/>
      <c r="I8" s="41"/>
      <c r="J8" s="41"/>
      <c r="K8" s="41"/>
      <c r="L8" s="41"/>
      <c r="M8" s="41"/>
      <c r="N8" s="41"/>
      <c r="O8" s="41"/>
      <c r="P8" s="43"/>
    </row>
    <row r="9" spans="2:16" x14ac:dyDescent="0.25">
      <c r="B9" s="129"/>
      <c r="C9" s="130"/>
      <c r="D9" s="80"/>
      <c r="E9" s="80"/>
      <c r="F9" s="130" t="str">
        <f>'Model Selection'!G9</f>
        <v/>
      </c>
      <c r="G9" s="172" t="str">
        <f>IF(OR('Model Selection'!H9="",'Model Selection'!H8="No"),"",'Model Selection'!H9)</f>
        <v/>
      </c>
      <c r="H9" s="172"/>
      <c r="I9" s="41"/>
      <c r="J9" s="41"/>
      <c r="K9" s="41"/>
      <c r="L9" s="41"/>
      <c r="M9" s="41"/>
      <c r="N9" s="41"/>
      <c r="O9" s="41"/>
      <c r="P9" s="43"/>
    </row>
    <row r="10" spans="2:16" ht="15.75" thickBot="1" x14ac:dyDescent="0.3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9"/>
    </row>
    <row r="11" spans="2:16" ht="54" customHeight="1" thickBot="1" x14ac:dyDescent="0.3">
      <c r="B11" s="31" t="s">
        <v>9</v>
      </c>
      <c r="C11" s="75" t="s">
        <v>117</v>
      </c>
      <c r="D11" s="75" t="s">
        <v>116</v>
      </c>
      <c r="E11" s="75" t="s">
        <v>115</v>
      </c>
      <c r="F11" s="31" t="s">
        <v>538</v>
      </c>
      <c r="G11" s="75" t="s">
        <v>112</v>
      </c>
      <c r="H11" s="75" t="s">
        <v>118</v>
      </c>
      <c r="I11" s="75" t="s">
        <v>406</v>
      </c>
      <c r="J11" s="75" t="s">
        <v>113</v>
      </c>
      <c r="K11" s="75" t="s">
        <v>114</v>
      </c>
      <c r="L11" s="75" t="s">
        <v>131</v>
      </c>
      <c r="M11" s="75" t="s">
        <v>384</v>
      </c>
      <c r="N11" s="116" t="s">
        <v>533</v>
      </c>
      <c r="O11" s="75" t="s">
        <v>132</v>
      </c>
      <c r="P11" s="75" t="s">
        <v>19</v>
      </c>
    </row>
    <row r="12" spans="2:16" ht="30" customHeight="1" x14ac:dyDescent="0.25">
      <c r="B12" s="32">
        <v>1</v>
      </c>
      <c r="C12" s="10" t="str">
        <f>IF(OR('Model Selection'!L12="Form Not Complete",'Model Selection'!L12="Model Number Not Valid"),"",'Model Selection'!L12)</f>
        <v/>
      </c>
      <c r="D12" s="117"/>
      <c r="E12" s="118"/>
      <c r="F12" s="127"/>
      <c r="G12" s="122"/>
      <c r="H12" s="6"/>
      <c r="I12" s="95"/>
      <c r="J12" s="6"/>
      <c r="K12" s="99"/>
      <c r="L12" s="6"/>
      <c r="M12" s="6"/>
      <c r="N12" s="6"/>
      <c r="O12" s="6"/>
      <c r="P12" s="11" t="str">
        <f>IF('Model Selection'!L12="Form Not Complete","",IF(AND(LEFT('Model Selection'!C12,6)="F-5400",'Model Selection'!D12="Insertion",LEFT('Model Selection'!I12,13)="Insertion w/o",E12="Natural Gas",I12&lt;&gt;"",OR(L12="",L12="SCFH &amp; SCF"),OR(N12="",N12="ONICON Select")),VLOOKUP(I12,'App Code Lookup'!$B$19:$J$30,8,FALSE),IF(AND(LEFT('Model Selection'!C12,6)="F-5400",'Model Selection'!D12="Insertion",LEFT('Model Selection'!I12,13)="Insertion w/ ",E12="Natural Gas",I12&lt;&gt;"",OR(L12="",L12="SCFH &amp; SCF"),OR(N12="",N12="ONICON Select")),VLOOKUP(I12,'App Code Lookup'!$B$19:$J$30,9,FALSE),IF(AND(LEFT('Model Selection'!C12,6)="F-5400",'Model Selection'!D12&lt;&gt;"Insertion",LEFT('Model Selection'!H12,8)="Threaded",E12="Natural Gas",I12&lt;&gt;"",OR(L12="",L12="SCFH &amp; SCF"),OR(N12="",N12="ONICON Select")),VLOOKUP(I12,'App Code Lookup'!$B$19:$J$30,6,FALSE),IF(AND(LEFT('Model Selection'!C12,6)="F-5400",'Model Selection'!D12&lt;&gt;"Insertion",LEFT('Model Selection'!H12,4)="ANSI",E12="Natural Gas",I12&lt;&gt;"",OR(L12="",L12="SCFH &amp; SCF"),OR(N12="",N12="ONICON Select")),VLOOKUP(I12,'App Code Lookup'!$B$19:$J$30,7,FALSE),IF(AND(LEFT('Model Selection'!C12,6)="F-5500",'Model Selection'!D12="Insertion",RIGHT('Model Selection'!E12,5)="DBUS)",LEFT('Model Selection'!I12,13)="Insertion w/o",E12="Natural Gas",I12&lt;&gt;"",OR(L12="",L12="SCFH &amp; SCF"),M12="BACnet",OR(N12="",N12="ONICON Select")),VLOOKUP(I12,'App Code Lookup'!$B$4:$V$15,16,FALSE),IF(AND(LEFT('Model Selection'!C12,6)="F-5500",'Model Selection'!D12="Insertion",RIGHT('Model Selection'!E12,5)="DBUS)",LEFT('Model Selection'!I12,13)="Insertion w/ ",E12="Natural Gas",I12&lt;&gt;"",OR(L12="",L12="SCFH &amp; SCF"),M12="BACnet",OR(N12="",N12="ONICON Select")),VLOOKUP(I12,'App Code Lookup'!$B$4:$V$15,17,FALSE),IF(AND(LEFT('Model Selection'!C12,6)="F-5500",'Model Selection'!D12&lt;&gt;"Insertion",RIGHT('Model Selection'!E12,5)="DBUS)",LEFT('Model Selection'!H12,8)="Threaded",E12="Natural Gas",I12&lt;&gt;"",OR(L12="",L12="SCFH &amp; SCF"),M12="BACnet",OR(N12="",N12="ONICON Select")),VLOOKUP(I12,'App Code Lookup'!$B$4:$V$15,14,FALSE),IF(AND(LEFT('Model Selection'!C12,6)="F-5500",'Model Selection'!D12&lt;&gt;"Insertion",RIGHT('Model Selection'!E12,5)="DBUS)",LEFT('Model Selection'!H12,4)="ANSI",E12="Natural Gas",I12&lt;&gt;"",OR(L12="",L12="SCFH &amp; SCF"),M12="BACnet",OR(N12="",N12="ONICON Select")),VLOOKUP(I12,'App Code Lookup'!$B$4:$V$15,15,FALSE),IF(AND(LEFT('Model Selection'!C12,6)="F-5500",'Model Selection'!D12="Insertion",RIGHT('Model Selection'!E12,5)="DBUS)",LEFT('Model Selection'!I12,13)="Insertion w/o",E12="Natural Gas",I12&lt;&gt;"",OR(L12="",L12="SCFH &amp; SCF"),M12="MODBUS",OR(N12="",N12="ONICON Select")),VLOOKUP(I12,'App Code Lookup'!$B$4:$V$15,12,FALSE),IF(AND(LEFT('Model Selection'!C12,6)="F-5500",'Model Selection'!D12="Insertion",RIGHT('Model Selection'!E12,5)="DBUS)",LEFT('Model Selection'!I12,13)="Insertion w/ ",E12="Natural Gas",I12&lt;&gt;"",OR(L12="",L12="SCFH &amp; SCF"),M12="MODBUS",OR(N12="",N12="ONICON Select")),VLOOKUP(I12,'App Code Lookup'!$B$4:$V$15,13,FALSE),IF(AND(LEFT('Model Selection'!C12,6)="F-5500",'Model Selection'!D12&lt;&gt;"Insertion",RIGHT('Model Selection'!E12,5)="DBUS)",LEFT('Model Selection'!H12,8)="Threaded",E12="Natural Gas",I12&lt;&gt;"",OR(L12="",L12="SCFH &amp; SCF"),M12="MODBUS",OR(N12="",N12="ONICON Select")),VLOOKUP(I12,'App Code Lookup'!$B$4:$V$15,10,FALSE),IF(AND(LEFT('Model Selection'!C12,6)="F-5500",'Model Selection'!D12&lt;&gt;"Insertion",RIGHT('Model Selection'!E12,5)="DBUS)",LEFT('Model Selection'!H12,4)="ANSI",E12="Natural Gas",I12&lt;&gt;"",OR(L12="",L12="SCFH &amp; SCF"),M12="MODBUS",OR(N12="",N12="ONICON Select")),VLOOKUP(I12,'App Code Lookup'!$B$4:$V$15,11,FALSE),IF(AND(LEFT('Model Selection'!C12,6)="F-5500",'Model Selection'!D12="Insertion",RIGHT('Model Selection'!E12,5)="Pulse",LEFT('Model Selection'!I12,13)="Insertion w/o",MID('Model Selection'!L12,8,1)="2",E12="Natural Gas",I12&lt;&gt;"",OR(L12="",L12="SCFH &amp; SCF"),OR(N12="",N12="ONICON Select"),OR(O12="",O12="ONICON Select")),VLOOKUP(I12,'App Code Lookup'!$B$4:$V$15,8,FALSE),IF(AND(LEFT('Model Selection'!C12,6)="F-5500",'Model Selection'!D12="Insertion",RIGHT('Model Selection'!E12,5)="Pulse",LEFT('Model Selection'!I12,13)="Insertion w/ ",MID('Model Selection'!L12,8,1)="2",E12="Natural Gas",I12&lt;&gt;"",OR(L12="",L12="SCFH &amp; SCF"),OR(N12="",N12="ONICON Select"),OR(O12="",O12="ONICON Select")),VLOOKUP(I12,'App Code Lookup'!$B$4:$V$15,9,FALSE),IF(AND(LEFT('Model Selection'!C12,6)="F-5500",'Model Selection'!D12&lt;&gt;"Insertion",RIGHT('Model Selection'!E12,5)="Pulse",LEFT('Model Selection'!H12,8)="Threaded",MID('Model Selection'!L12,8,1)="2",E12="Natural Gas",I12&lt;&gt;"",OR(L12="",L12="SCFH &amp; SCF"),OR(N12="",N12="ONICON Select"),OR(O12="",O12="ONICON Select")),VLOOKUP(I12,'App Code Lookup'!$B$4:$V$15,6,FALSE),IF(AND(LEFT('Model Selection'!C12,6)="F-5500",'Model Selection'!D12&lt;&gt;"Insertion",RIGHT('Model Selection'!E12,5)="Pulse",LEFT('Model Selection'!H12,4)="ANSI",MID('Model Selection'!L12,8,1)="2",E12="Natural Gas",I12&lt;&gt;"",OR(L12="",L12="SCFH &amp; SCF"),OR(N12="",N12="ONICON Select"),OR(O12="",O12="ONICON Select")),VLOOKUP(I12,'App Code Lookup'!$B$4:$V$15,7,FALSE),IF(AND(LEFT('Model Selection'!C12,6)="F-5500",'Model Selection'!D12="Insertion",RIGHT('Model Selection'!E12,5)="Pulse",LEFT('Model Selection'!I12,13)="Insertion w/o",MID('Model Selection'!L12,8,1)="4",E12="Natural Gas",I12&lt;&gt;"",OR(L12="",L12="SCFH &amp; SCF"),OR(N12="",N12="ONICON Select"),OR(O12="",O12="ONICON Select")),VLOOKUP(I12,'App Code Lookup'!$B$4:$V$15,20,FALSE),IF(AND(LEFT('Model Selection'!C12,6)="F-5500",'Model Selection'!D12="Insertion",RIGHT('Model Selection'!E12,5)="Pulse",LEFT('Model Selection'!I12,13)="Insertion w/ ",MID('Model Selection'!L12,8,1)="4",E12="Natural Gas",I12&lt;&gt;"",OR(L12="",L12="SCFH &amp; SCF"),OR(N12="",N12="ONICON Select"),OR(O12="",O12="ONICON Select")),VLOOKUP(I12,'App Code Lookup'!$B$4:$V$15,21,FALSE),IF(AND(LEFT('Model Selection'!C12,6)="F-5500",'Model Selection'!D12&lt;&gt;"Insertion",RIGHT('Model Selection'!E12,5)="Pulse",LEFT('Model Selection'!H12,8)="Threaded",MID('Model Selection'!L12,8,1)="4",E12="Natural Gas",I12&lt;&gt;"",OR(L12="",L12="SCFH &amp; SCF"),OR(N12="",N12="ONICON Select"),OR(O12="",O12="ONICON Select")),VLOOKUP(I12,'App Code Lookup'!$B$4:$V$15,18,FALSE),IF(AND(LEFT('Model Selection'!C12,6)="F-5500",'Model Selection'!D12&lt;&gt;"Insertion",RIGHT('Model Selection'!E12,5)="Pulse",LEFT('Model Selection'!H12,4)="ANSI",MID('Model Selection'!L12,8,1)="4",E12="Natural Gas",I12&lt;&gt;"",OR(L12="",L12="SCFH &amp; SCF"),OR(N12="",N12="ONICON Select"),OR(O12="",O12="ONICON Select")),VLOOKUP(I12,'App Code Lookup'!$B$4:$V$15,19,FALSE),"New App Code")))))))))))))))))))))</f>
        <v/>
      </c>
    </row>
    <row r="13" spans="2:16" ht="30" customHeight="1" x14ac:dyDescent="0.25">
      <c r="B13" s="33">
        <v>2</v>
      </c>
      <c r="C13" s="12" t="str">
        <f>IF(OR('Model Selection'!L13="Form Not Complete",'Model Selection'!L13="Model Number Not Valid"),"",'Model Selection'!L13)</f>
        <v/>
      </c>
      <c r="D13" s="7"/>
      <c r="E13" s="119"/>
      <c r="F13" s="126"/>
      <c r="G13" s="123"/>
      <c r="H13" s="7"/>
      <c r="I13" s="96"/>
      <c r="J13" s="7"/>
      <c r="K13" s="7"/>
      <c r="L13" s="7"/>
      <c r="M13" s="7"/>
      <c r="N13" s="7"/>
      <c r="O13" s="7"/>
      <c r="P13" s="13" t="str">
        <f>IF('Model Selection'!L13="Form Not Complete","",IF(AND(LEFT('Model Selection'!C13,6)="F-5400",'Model Selection'!D13="Insertion",LEFT('Model Selection'!I13,13)="Insertion w/o",E13="Natural Gas",I13&lt;&gt;"",OR(L13="",L13="SCFH &amp; SCF"),OR(N13="",N13="ONICON Select")),VLOOKUP(I13,'App Code Lookup'!$B$19:$J$30,8,FALSE),IF(AND(LEFT('Model Selection'!C13,6)="F-5400",'Model Selection'!D13="Insertion",LEFT('Model Selection'!I13,13)="Insertion w/ ",E13="Natural Gas",I13&lt;&gt;"",OR(L13="",L13="SCFH &amp; SCF"),OR(N13="",N13="ONICON Select")),VLOOKUP(I13,'App Code Lookup'!$B$19:$J$30,9,FALSE),IF(AND(LEFT('Model Selection'!C13,6)="F-5400",'Model Selection'!D13&lt;&gt;"Insertion",LEFT('Model Selection'!H13,8)="Threaded",E13="Natural Gas",I13&lt;&gt;"",OR(L13="",L13="SCFH &amp; SCF"),OR(N13="",N13="ONICON Select")),VLOOKUP(I13,'App Code Lookup'!$B$19:$J$30,6,FALSE),IF(AND(LEFT('Model Selection'!C13,6)="F-5400",'Model Selection'!D13&lt;&gt;"Insertion",LEFT('Model Selection'!H13,4)="ANSI",E13="Natural Gas",I13&lt;&gt;"",OR(L13="",L13="SCFH &amp; SCF"),OR(N13="",N13="ONICON Select")),VLOOKUP(I13,'App Code Lookup'!$B$19:$J$30,7,FALSE),IF(AND(LEFT('Model Selection'!C13,6)="F-5500",'Model Selection'!D13="Insertion",RIGHT('Model Selection'!E13,5)="DBUS)",LEFT('Model Selection'!I13,13)="Insertion w/o",E13="Natural Gas",I13&lt;&gt;"",OR(L13="",L13="SCFH &amp; SCF"),M13="BACnet",OR(N13="",N13="ONICON Select")),VLOOKUP(I13,'App Code Lookup'!$B$4:$V$15,16,FALSE),IF(AND(LEFT('Model Selection'!C13,6)="F-5500",'Model Selection'!D13="Insertion",RIGHT('Model Selection'!E13,5)="DBUS)",LEFT('Model Selection'!I13,13)="Insertion w/ ",E13="Natural Gas",I13&lt;&gt;"",OR(L13="",L13="SCFH &amp; SCF"),M13="BACnet",OR(N13="",N13="ONICON Select")),VLOOKUP(I13,'App Code Lookup'!$B$4:$V$15,17,FALSE),IF(AND(LEFT('Model Selection'!C13,6)="F-5500",'Model Selection'!D13&lt;&gt;"Insertion",RIGHT('Model Selection'!E13,5)="DBUS)",LEFT('Model Selection'!H13,8)="Threaded",E13="Natural Gas",I13&lt;&gt;"",OR(L13="",L13="SCFH &amp; SCF"),M13="BACnet",OR(N13="",N13="ONICON Select")),VLOOKUP(I13,'App Code Lookup'!$B$4:$V$15,14,FALSE),IF(AND(LEFT('Model Selection'!C13,6)="F-5500",'Model Selection'!D13&lt;&gt;"Insertion",RIGHT('Model Selection'!E13,5)="DBUS)",LEFT('Model Selection'!H13,4)="ANSI",E13="Natural Gas",I13&lt;&gt;"",OR(L13="",L13="SCFH &amp; SCF"),M13="BACnet",OR(N13="",N13="ONICON Select")),VLOOKUP(I13,'App Code Lookup'!$B$4:$V$15,15,FALSE),IF(AND(LEFT('Model Selection'!C13,6)="F-5500",'Model Selection'!D13="Insertion",RIGHT('Model Selection'!E13,5)="DBUS)",LEFT('Model Selection'!I13,13)="Insertion w/o",E13="Natural Gas",I13&lt;&gt;"",OR(L13="",L13="SCFH &amp; SCF"),M13="MODBUS",OR(N13="",N13="ONICON Select")),VLOOKUP(I13,'App Code Lookup'!$B$4:$V$15,12,FALSE),IF(AND(LEFT('Model Selection'!C13,6)="F-5500",'Model Selection'!D13="Insertion",RIGHT('Model Selection'!E13,5)="DBUS)",LEFT('Model Selection'!I13,13)="Insertion w/ ",E13="Natural Gas",I13&lt;&gt;"",OR(L13="",L13="SCFH &amp; SCF"),M13="MODBUS",OR(N13="",N13="ONICON Select")),VLOOKUP(I13,'App Code Lookup'!$B$4:$V$15,13,FALSE),IF(AND(LEFT('Model Selection'!C13,6)="F-5500",'Model Selection'!D13&lt;&gt;"Insertion",RIGHT('Model Selection'!E13,5)="DBUS)",LEFT('Model Selection'!H13,8)="Threaded",E13="Natural Gas",I13&lt;&gt;"",OR(L13="",L13="SCFH &amp; SCF"),M13="MODBUS",OR(N13="",N13="ONICON Select")),VLOOKUP(I13,'App Code Lookup'!$B$4:$V$15,10,FALSE),IF(AND(LEFT('Model Selection'!C13,6)="F-5500",'Model Selection'!D13&lt;&gt;"Insertion",RIGHT('Model Selection'!E13,5)="DBUS)",LEFT('Model Selection'!H13,4)="ANSI",E13="Natural Gas",I13&lt;&gt;"",OR(L13="",L13="SCFH &amp; SCF"),M13="MODBUS",OR(N13="",N13="ONICON Select")),VLOOKUP(I13,'App Code Lookup'!$B$4:$V$15,11,FALSE),IF(AND(LEFT('Model Selection'!C13,6)="F-5500",'Model Selection'!D13="Insertion",RIGHT('Model Selection'!E13,5)="Pulse",LEFT('Model Selection'!I13,13)="Insertion w/o",MID('Model Selection'!L13,8,1)="2",E13="Natural Gas",I13&lt;&gt;"",OR(L13="",L13="SCFH &amp; SCF"),OR(N13="",N13="ONICON Select"),OR(O13="",O13="ONICON Select")),VLOOKUP(I13,'App Code Lookup'!$B$4:$V$15,8,FALSE),IF(AND(LEFT('Model Selection'!C13,6)="F-5500",'Model Selection'!D13="Insertion",RIGHT('Model Selection'!E13,5)="Pulse",LEFT('Model Selection'!I13,13)="Insertion w/ ",MID('Model Selection'!L13,8,1)="2",E13="Natural Gas",I13&lt;&gt;"",OR(L13="",L13="SCFH &amp; SCF"),OR(N13="",N13="ONICON Select"),OR(O13="",O13="ONICON Select")),VLOOKUP(I13,'App Code Lookup'!$B$4:$V$15,9,FALSE),IF(AND(LEFT('Model Selection'!C13,6)="F-5500",'Model Selection'!D13&lt;&gt;"Insertion",RIGHT('Model Selection'!E13,5)="Pulse",LEFT('Model Selection'!H13,8)="Threaded",MID('Model Selection'!L13,8,1)="2",E13="Natural Gas",I13&lt;&gt;"",OR(L13="",L13="SCFH &amp; SCF"),OR(N13="",N13="ONICON Select"),OR(O13="",O13="ONICON Select")),VLOOKUP(I13,'App Code Lookup'!$B$4:$V$15,6,FALSE),IF(AND(LEFT('Model Selection'!C13,6)="F-5500",'Model Selection'!D13&lt;&gt;"Insertion",RIGHT('Model Selection'!E13,5)="Pulse",LEFT('Model Selection'!H13,4)="ANSI",MID('Model Selection'!L13,8,1)="2",E13="Natural Gas",I13&lt;&gt;"",OR(L13="",L13="SCFH &amp; SCF"),OR(N13="",N13="ONICON Select"),OR(O13="",O13="ONICON Select")),VLOOKUP(I13,'App Code Lookup'!$B$4:$V$15,7,FALSE),IF(AND(LEFT('Model Selection'!C13,6)="F-5500",'Model Selection'!D13="Insertion",RIGHT('Model Selection'!E13,5)="Pulse",LEFT('Model Selection'!I13,13)="Insertion w/o",MID('Model Selection'!L13,8,1)="4",E13="Natural Gas",I13&lt;&gt;"",OR(L13="",L13="SCFH &amp; SCF"),OR(N13="",N13="ONICON Select"),OR(O13="",O13="ONICON Select")),VLOOKUP(I13,'App Code Lookup'!$B$4:$V$15,20,FALSE),IF(AND(LEFT('Model Selection'!C13,6)="F-5500",'Model Selection'!D13="Insertion",RIGHT('Model Selection'!E13,5)="Pulse",LEFT('Model Selection'!I13,13)="Insertion w/ ",MID('Model Selection'!L13,8,1)="4",E13="Natural Gas",I13&lt;&gt;"",OR(L13="",L13="SCFH &amp; SCF"),OR(N13="",N13="ONICON Select"),OR(O13="",O13="ONICON Select")),VLOOKUP(I13,'App Code Lookup'!$B$4:$V$15,21,FALSE),IF(AND(LEFT('Model Selection'!C13,6)="F-5500",'Model Selection'!D13&lt;&gt;"Insertion",RIGHT('Model Selection'!E13,5)="Pulse",LEFT('Model Selection'!H13,8)="Threaded",MID('Model Selection'!L13,8,1)="4",E13="Natural Gas",I13&lt;&gt;"",OR(L13="",L13="SCFH &amp; SCF"),OR(N13="",N13="ONICON Select"),OR(O13="",O13="ONICON Select")),VLOOKUP(I13,'App Code Lookup'!$B$4:$V$15,18,FALSE),IF(AND(LEFT('Model Selection'!C13,6)="F-5500",'Model Selection'!D13&lt;&gt;"Insertion",RIGHT('Model Selection'!E13,5)="Pulse",LEFT('Model Selection'!H13,4)="ANSI",MID('Model Selection'!L13,8,1)="4",E13="Natural Gas",I13&lt;&gt;"",OR(L13="",L13="SCFH &amp; SCF"),OR(N13="",N13="ONICON Select"),OR(O13="",O13="ONICON Select")),VLOOKUP(I13,'App Code Lookup'!$B$4:$V$15,19,FALSE),"New App Code")))))))))))))))))))))</f>
        <v/>
      </c>
    </row>
    <row r="14" spans="2:16" ht="30" customHeight="1" x14ac:dyDescent="0.25">
      <c r="B14" s="34">
        <v>3</v>
      </c>
      <c r="C14" s="14" t="str">
        <f>IF(OR('Model Selection'!L14="Form Not Complete",'Model Selection'!L14="Model Number Not Valid"),"",'Model Selection'!L14)</f>
        <v/>
      </c>
      <c r="D14" s="8"/>
      <c r="E14" s="120"/>
      <c r="F14" s="127"/>
      <c r="G14" s="124"/>
      <c r="H14" s="8"/>
      <c r="I14" s="97"/>
      <c r="J14" s="8"/>
      <c r="K14" s="8"/>
      <c r="L14" s="8"/>
      <c r="M14" s="8"/>
      <c r="N14" s="8"/>
      <c r="O14" s="8"/>
      <c r="P14" s="15" t="str">
        <f>IF('Model Selection'!L14="Form Not Complete","",IF(AND(LEFT('Model Selection'!C14,6)="F-5400",'Model Selection'!D14="Insertion",LEFT('Model Selection'!I14,13)="Insertion w/o",E14="Natural Gas",I14&lt;&gt;"",OR(L14="",L14="SCFH &amp; SCF"),OR(N14="",N14="ONICON Select")),VLOOKUP(I14,'App Code Lookup'!$B$19:$J$30,8,FALSE),IF(AND(LEFT('Model Selection'!C14,6)="F-5400",'Model Selection'!D14="Insertion",LEFT('Model Selection'!I14,13)="Insertion w/ ",E14="Natural Gas",I14&lt;&gt;"",OR(L14="",L14="SCFH &amp; SCF"),OR(N14="",N14="ONICON Select")),VLOOKUP(I14,'App Code Lookup'!$B$19:$J$30,9,FALSE),IF(AND(LEFT('Model Selection'!C14,6)="F-5400",'Model Selection'!D14&lt;&gt;"Insertion",LEFT('Model Selection'!H14,8)="Threaded",E14="Natural Gas",I14&lt;&gt;"",OR(L14="",L14="SCFH &amp; SCF"),OR(N14="",N14="ONICON Select")),VLOOKUP(I14,'App Code Lookup'!$B$19:$J$30,6,FALSE),IF(AND(LEFT('Model Selection'!C14,6)="F-5400",'Model Selection'!D14&lt;&gt;"Insertion",LEFT('Model Selection'!H14,4)="ANSI",E14="Natural Gas",I14&lt;&gt;"",OR(L14="",L14="SCFH &amp; SCF"),OR(N14="",N14="ONICON Select")),VLOOKUP(I14,'App Code Lookup'!$B$19:$J$30,7,FALSE),IF(AND(LEFT('Model Selection'!C14,6)="F-5500",'Model Selection'!D14="Insertion",RIGHT('Model Selection'!E14,5)="DBUS)",LEFT('Model Selection'!I14,13)="Insertion w/o",E14="Natural Gas",I14&lt;&gt;"",OR(L14="",L14="SCFH &amp; SCF"),M14="BACnet",OR(N14="",N14="ONICON Select")),VLOOKUP(I14,'App Code Lookup'!$B$4:$V$15,16,FALSE),IF(AND(LEFT('Model Selection'!C14,6)="F-5500",'Model Selection'!D14="Insertion",RIGHT('Model Selection'!E14,5)="DBUS)",LEFT('Model Selection'!I14,13)="Insertion w/ ",E14="Natural Gas",I14&lt;&gt;"",OR(L14="",L14="SCFH &amp; SCF"),M14="BACnet",OR(N14="",N14="ONICON Select")),VLOOKUP(I14,'App Code Lookup'!$B$4:$V$15,17,FALSE),IF(AND(LEFT('Model Selection'!C14,6)="F-5500",'Model Selection'!D14&lt;&gt;"Insertion",RIGHT('Model Selection'!E14,5)="DBUS)",LEFT('Model Selection'!H14,8)="Threaded",E14="Natural Gas",I14&lt;&gt;"",OR(L14="",L14="SCFH &amp; SCF"),M14="BACnet",OR(N14="",N14="ONICON Select")),VLOOKUP(I14,'App Code Lookup'!$B$4:$V$15,14,FALSE),IF(AND(LEFT('Model Selection'!C14,6)="F-5500",'Model Selection'!D14&lt;&gt;"Insertion",RIGHT('Model Selection'!E14,5)="DBUS)",LEFT('Model Selection'!H14,4)="ANSI",E14="Natural Gas",I14&lt;&gt;"",OR(L14="",L14="SCFH &amp; SCF"),M14="BACnet",OR(N14="",N14="ONICON Select")),VLOOKUP(I14,'App Code Lookup'!$B$4:$V$15,15,FALSE),IF(AND(LEFT('Model Selection'!C14,6)="F-5500",'Model Selection'!D14="Insertion",RIGHT('Model Selection'!E14,5)="DBUS)",LEFT('Model Selection'!I14,13)="Insertion w/o",E14="Natural Gas",I14&lt;&gt;"",OR(L14="",L14="SCFH &amp; SCF"),M14="MODBUS",OR(N14="",N14="ONICON Select")),VLOOKUP(I14,'App Code Lookup'!$B$4:$V$15,12,FALSE),IF(AND(LEFT('Model Selection'!C14,6)="F-5500",'Model Selection'!D14="Insertion",RIGHT('Model Selection'!E14,5)="DBUS)",LEFT('Model Selection'!I14,13)="Insertion w/ ",E14="Natural Gas",I14&lt;&gt;"",OR(L14="",L14="SCFH &amp; SCF"),M14="MODBUS",OR(N14="",N14="ONICON Select")),VLOOKUP(I14,'App Code Lookup'!$B$4:$V$15,13,FALSE),IF(AND(LEFT('Model Selection'!C14,6)="F-5500",'Model Selection'!D14&lt;&gt;"Insertion",RIGHT('Model Selection'!E14,5)="DBUS)",LEFT('Model Selection'!H14,8)="Threaded",E14="Natural Gas",I14&lt;&gt;"",OR(L14="",L14="SCFH &amp; SCF"),M14="MODBUS",OR(N14="",N14="ONICON Select")),VLOOKUP(I14,'App Code Lookup'!$B$4:$V$15,10,FALSE),IF(AND(LEFT('Model Selection'!C14,6)="F-5500",'Model Selection'!D14&lt;&gt;"Insertion",RIGHT('Model Selection'!E14,5)="DBUS)",LEFT('Model Selection'!H14,4)="ANSI",E14="Natural Gas",I14&lt;&gt;"",OR(L14="",L14="SCFH &amp; SCF"),M14="MODBUS",OR(N14="",N14="ONICON Select")),VLOOKUP(I14,'App Code Lookup'!$B$4:$V$15,11,FALSE),IF(AND(LEFT('Model Selection'!C14,6)="F-5500",'Model Selection'!D14="Insertion",RIGHT('Model Selection'!E14,5)="Pulse",LEFT('Model Selection'!I14,13)="Insertion w/o",MID('Model Selection'!L14,8,1)="2",E14="Natural Gas",I14&lt;&gt;"",OR(L14="",L14="SCFH &amp; SCF"),OR(N14="",N14="ONICON Select"),OR(O14="",O14="ONICON Select")),VLOOKUP(I14,'App Code Lookup'!$B$4:$V$15,8,FALSE),IF(AND(LEFT('Model Selection'!C14,6)="F-5500",'Model Selection'!D14="Insertion",RIGHT('Model Selection'!E14,5)="Pulse",LEFT('Model Selection'!I14,13)="Insertion w/ ",MID('Model Selection'!L14,8,1)="2",E14="Natural Gas",I14&lt;&gt;"",OR(L14="",L14="SCFH &amp; SCF"),OR(N14="",N14="ONICON Select"),OR(O14="",O14="ONICON Select")),VLOOKUP(I14,'App Code Lookup'!$B$4:$V$15,9,FALSE),IF(AND(LEFT('Model Selection'!C14,6)="F-5500",'Model Selection'!D14&lt;&gt;"Insertion",RIGHT('Model Selection'!E14,5)="Pulse",LEFT('Model Selection'!H14,8)="Threaded",MID('Model Selection'!L14,8,1)="2",E14="Natural Gas",I14&lt;&gt;"",OR(L14="",L14="SCFH &amp; SCF"),OR(N14="",N14="ONICON Select"),OR(O14="",O14="ONICON Select")),VLOOKUP(I14,'App Code Lookup'!$B$4:$V$15,6,FALSE),IF(AND(LEFT('Model Selection'!C14,6)="F-5500",'Model Selection'!D14&lt;&gt;"Insertion",RIGHT('Model Selection'!E14,5)="Pulse",LEFT('Model Selection'!H14,4)="ANSI",MID('Model Selection'!L14,8,1)="2",E14="Natural Gas",I14&lt;&gt;"",OR(L14="",L14="SCFH &amp; SCF"),OR(N14="",N14="ONICON Select"),OR(O14="",O14="ONICON Select")),VLOOKUP(I14,'App Code Lookup'!$B$4:$V$15,7,FALSE),IF(AND(LEFT('Model Selection'!C14,6)="F-5500",'Model Selection'!D14="Insertion",RIGHT('Model Selection'!E14,5)="Pulse",LEFT('Model Selection'!I14,13)="Insertion w/o",MID('Model Selection'!L14,8,1)="4",E14="Natural Gas",I14&lt;&gt;"",OR(L14="",L14="SCFH &amp; SCF"),OR(N14="",N14="ONICON Select"),OR(O14="",O14="ONICON Select")),VLOOKUP(I14,'App Code Lookup'!$B$4:$V$15,20,FALSE),IF(AND(LEFT('Model Selection'!C14,6)="F-5500",'Model Selection'!D14="Insertion",RIGHT('Model Selection'!E14,5)="Pulse",LEFT('Model Selection'!I14,13)="Insertion w/ ",MID('Model Selection'!L14,8,1)="4",E14="Natural Gas",I14&lt;&gt;"",OR(L14="",L14="SCFH &amp; SCF"),OR(N14="",N14="ONICON Select"),OR(O14="",O14="ONICON Select")),VLOOKUP(I14,'App Code Lookup'!$B$4:$V$15,21,FALSE),IF(AND(LEFT('Model Selection'!C14,6)="F-5500",'Model Selection'!D14&lt;&gt;"Insertion",RIGHT('Model Selection'!E14,5)="Pulse",LEFT('Model Selection'!H14,8)="Threaded",MID('Model Selection'!L14,8,1)="4",E14="Natural Gas",I14&lt;&gt;"",OR(L14="",L14="SCFH &amp; SCF"),OR(N14="",N14="ONICON Select"),OR(O14="",O14="ONICON Select")),VLOOKUP(I14,'App Code Lookup'!$B$4:$V$15,18,FALSE),IF(AND(LEFT('Model Selection'!C14,6)="F-5500",'Model Selection'!D14&lt;&gt;"Insertion",RIGHT('Model Selection'!E14,5)="Pulse",LEFT('Model Selection'!H14,4)="ANSI",MID('Model Selection'!L14,8,1)="4",E14="Natural Gas",I14&lt;&gt;"",OR(L14="",L14="SCFH &amp; SCF"),OR(N14="",N14="ONICON Select"),OR(O14="",O14="ONICON Select")),VLOOKUP(I14,'App Code Lookup'!$B$4:$V$15,19,FALSE),"New App Code")))))))))))))))))))))</f>
        <v/>
      </c>
    </row>
    <row r="15" spans="2:16" ht="30" customHeight="1" x14ac:dyDescent="0.25">
      <c r="B15" s="33">
        <v>4</v>
      </c>
      <c r="C15" s="12" t="str">
        <f>IF(OR('Model Selection'!L15="Form Not Complete",'Model Selection'!L15="Model Number Not Valid"),"",'Model Selection'!L15)</f>
        <v/>
      </c>
      <c r="D15" s="7"/>
      <c r="E15" s="119"/>
      <c r="F15" s="126"/>
      <c r="G15" s="123"/>
      <c r="H15" s="7"/>
      <c r="I15" s="96" t="str">
        <f>IF('Model Selection'!D15="Insertion","",IF('Model Selection'!D15="","",VLOOKUP('Model Selection'!D15,Reference!$C$2:$E$11,3,FALSE)))</f>
        <v/>
      </c>
      <c r="J15" s="7"/>
      <c r="K15" s="7"/>
      <c r="L15" s="7"/>
      <c r="M15" s="7"/>
      <c r="N15" s="7" t="str">
        <f>IF('Model Selection'!C15=Reference!$A$2,"ONICON Select","")</f>
        <v/>
      </c>
      <c r="O15" s="7" t="str">
        <f>IF(OR('Model Selection'!E15=Reference!$I$3,'Model Selection'!E15=Reference!$I$5),"N/A",IF('Model Selection'!C15=Reference!$A$2,"ONICON Select",""))</f>
        <v/>
      </c>
      <c r="P15" s="13" t="str">
        <f>IF('Model Selection'!L15="Form Not Complete","",IF(AND(LEFT('Model Selection'!C15,6)="F-5400",'Model Selection'!D15="Insertion",LEFT('Model Selection'!I15,13)="Insertion w/o",E15="Natural Gas",I15&lt;&gt;"",OR(L15="",L15="SCFH &amp; SCF"),OR(N15="",N15="ONICON Select")),VLOOKUP(I15,'App Code Lookup'!$B$19:$J$30,8,FALSE),IF(AND(LEFT('Model Selection'!C15,6)="F-5400",'Model Selection'!D15="Insertion",LEFT('Model Selection'!I15,13)="Insertion w/ ",E15="Natural Gas",I15&lt;&gt;"",OR(L15="",L15="SCFH &amp; SCF"),OR(N15="",N15="ONICON Select")),VLOOKUP(I15,'App Code Lookup'!$B$19:$J$30,9,FALSE),IF(AND(LEFT('Model Selection'!C15,6)="F-5400",'Model Selection'!D15&lt;&gt;"Insertion",LEFT('Model Selection'!H15,8)="Threaded",E15="Natural Gas",I15&lt;&gt;"",OR(L15="",L15="SCFH &amp; SCF"),OR(N15="",N15="ONICON Select")),VLOOKUP(I15,'App Code Lookup'!$B$19:$J$30,6,FALSE),IF(AND(LEFT('Model Selection'!C15,6)="F-5400",'Model Selection'!D15&lt;&gt;"Insertion",LEFT('Model Selection'!H15,4)="ANSI",E15="Natural Gas",I15&lt;&gt;"",OR(L15="",L15="SCFH &amp; SCF"),OR(N15="",N15="ONICON Select")),VLOOKUP(I15,'App Code Lookup'!$B$19:$J$30,7,FALSE),IF(AND(LEFT('Model Selection'!C15,6)="F-5500",'Model Selection'!D15="Insertion",RIGHT('Model Selection'!E15,5)="DBUS)",LEFT('Model Selection'!I15,13)="Insertion w/o",E15="Natural Gas",I15&lt;&gt;"",OR(L15="",L15="SCFH &amp; SCF"),M15="BACnet",OR(N15="",N15="ONICON Select")),VLOOKUP(I15,'App Code Lookup'!$B$4:$V$15,16,FALSE),IF(AND(LEFT('Model Selection'!C15,6)="F-5500",'Model Selection'!D15="Insertion",RIGHT('Model Selection'!E15,5)="DBUS)",LEFT('Model Selection'!I15,13)="Insertion w/ ",E15="Natural Gas",I15&lt;&gt;"",OR(L15="",L15="SCFH &amp; SCF"),M15="BACnet",OR(N15="",N15="ONICON Select")),VLOOKUP(I15,'App Code Lookup'!$B$4:$V$15,17,FALSE),IF(AND(LEFT('Model Selection'!C15,6)="F-5500",'Model Selection'!D15&lt;&gt;"Insertion",RIGHT('Model Selection'!E15,5)="DBUS)",LEFT('Model Selection'!H15,8)="Threaded",E15="Natural Gas",I15&lt;&gt;"",OR(L15="",L15="SCFH &amp; SCF"),M15="BACnet",OR(N15="",N15="ONICON Select")),VLOOKUP(I15,'App Code Lookup'!$B$4:$V$15,14,FALSE),IF(AND(LEFT('Model Selection'!C15,6)="F-5500",'Model Selection'!D15&lt;&gt;"Insertion",RIGHT('Model Selection'!E15,5)="DBUS)",LEFT('Model Selection'!H15,4)="ANSI",E15="Natural Gas",I15&lt;&gt;"",OR(L15="",L15="SCFH &amp; SCF"),M15="BACnet",OR(N15="",N15="ONICON Select")),VLOOKUP(I15,'App Code Lookup'!$B$4:$V$15,15,FALSE),IF(AND(LEFT('Model Selection'!C15,6)="F-5500",'Model Selection'!D15="Insertion",RIGHT('Model Selection'!E15,5)="DBUS)",LEFT('Model Selection'!I15,13)="Insertion w/o",E15="Natural Gas",I15&lt;&gt;"",OR(L15="",L15="SCFH &amp; SCF"),M15="MODBUS",OR(N15="",N15="ONICON Select")),VLOOKUP(I15,'App Code Lookup'!$B$4:$V$15,12,FALSE),IF(AND(LEFT('Model Selection'!C15,6)="F-5500",'Model Selection'!D15="Insertion",RIGHT('Model Selection'!E15,5)="DBUS)",LEFT('Model Selection'!I15,13)="Insertion w/ ",E15="Natural Gas",I15&lt;&gt;"",OR(L15="",L15="SCFH &amp; SCF"),M15="MODBUS",OR(N15="",N15="ONICON Select")),VLOOKUP(I15,'App Code Lookup'!$B$4:$V$15,13,FALSE),IF(AND(LEFT('Model Selection'!C15,6)="F-5500",'Model Selection'!D15&lt;&gt;"Insertion",RIGHT('Model Selection'!E15,5)="DBUS)",LEFT('Model Selection'!H15,8)="Threaded",E15="Natural Gas",I15&lt;&gt;"",OR(L15="",L15="SCFH &amp; SCF"),M15="MODBUS",OR(N15="",N15="ONICON Select")),VLOOKUP(I15,'App Code Lookup'!$B$4:$V$15,10,FALSE),IF(AND(LEFT('Model Selection'!C15,6)="F-5500",'Model Selection'!D15&lt;&gt;"Insertion",RIGHT('Model Selection'!E15,5)="DBUS)",LEFT('Model Selection'!H15,4)="ANSI",E15="Natural Gas",I15&lt;&gt;"",OR(L15="",L15="SCFH &amp; SCF"),M15="MODBUS",OR(N15="",N15="ONICON Select")),VLOOKUP(I15,'App Code Lookup'!$B$4:$V$15,11,FALSE),IF(AND(LEFT('Model Selection'!C15,6)="F-5500",'Model Selection'!D15="Insertion",RIGHT('Model Selection'!E15,5)="Pulse",LEFT('Model Selection'!I15,13)="Insertion w/o",MID('Model Selection'!L15,8,1)="2",E15="Natural Gas",I15&lt;&gt;"",OR(L15="",L15="SCFH &amp; SCF"),OR(N15="",N15="ONICON Select"),OR(O15="",O15="ONICON Select")),VLOOKUP(I15,'App Code Lookup'!$B$4:$V$15,8,FALSE),IF(AND(LEFT('Model Selection'!C15,6)="F-5500",'Model Selection'!D15="Insertion",RIGHT('Model Selection'!E15,5)="Pulse",LEFT('Model Selection'!I15,13)="Insertion w/ ",MID('Model Selection'!L15,8,1)="2",E15="Natural Gas",I15&lt;&gt;"",OR(L15="",L15="SCFH &amp; SCF"),OR(N15="",N15="ONICON Select"),OR(O15="",O15="ONICON Select")),VLOOKUP(I15,'App Code Lookup'!$B$4:$V$15,9,FALSE),IF(AND(LEFT('Model Selection'!C15,6)="F-5500",'Model Selection'!D15&lt;&gt;"Insertion",RIGHT('Model Selection'!E15,5)="Pulse",LEFT('Model Selection'!H15,8)="Threaded",MID('Model Selection'!L15,8,1)="2",E15="Natural Gas",I15&lt;&gt;"",OR(L15="",L15="SCFH &amp; SCF"),OR(N15="",N15="ONICON Select"),OR(O15="",O15="ONICON Select")),VLOOKUP(I15,'App Code Lookup'!$B$4:$V$15,6,FALSE),IF(AND(LEFT('Model Selection'!C15,6)="F-5500",'Model Selection'!D15&lt;&gt;"Insertion",RIGHT('Model Selection'!E15,5)="Pulse",LEFT('Model Selection'!H15,4)="ANSI",MID('Model Selection'!L15,8,1)="2",E15="Natural Gas",I15&lt;&gt;"",OR(L15="",L15="SCFH &amp; SCF"),OR(N15="",N15="ONICON Select"),OR(O15="",O15="ONICON Select")),VLOOKUP(I15,'App Code Lookup'!$B$4:$V$15,7,FALSE),IF(AND(LEFT('Model Selection'!C15,6)="F-5500",'Model Selection'!D15="Insertion",RIGHT('Model Selection'!E15,5)="Pulse",LEFT('Model Selection'!I15,13)="Insertion w/o",MID('Model Selection'!L15,8,1)="4",E15="Natural Gas",I15&lt;&gt;"",OR(L15="",L15="SCFH &amp; SCF"),OR(N15="",N15="ONICON Select"),OR(O15="",O15="ONICON Select")),VLOOKUP(I15,'App Code Lookup'!$B$4:$V$15,20,FALSE),IF(AND(LEFT('Model Selection'!C15,6)="F-5500",'Model Selection'!D15="Insertion",RIGHT('Model Selection'!E15,5)="Pulse",LEFT('Model Selection'!I15,13)="Insertion w/ ",MID('Model Selection'!L15,8,1)="4",E15="Natural Gas",I15&lt;&gt;"",OR(L15="",L15="SCFH &amp; SCF"),OR(N15="",N15="ONICON Select"),OR(O15="",O15="ONICON Select")),VLOOKUP(I15,'App Code Lookup'!$B$4:$V$15,21,FALSE),IF(AND(LEFT('Model Selection'!C15,6)="F-5500",'Model Selection'!D15&lt;&gt;"Insertion",RIGHT('Model Selection'!E15,5)="Pulse",LEFT('Model Selection'!H15,8)="Threaded",MID('Model Selection'!L15,8,1)="4",E15="Natural Gas",I15&lt;&gt;"",OR(L15="",L15="SCFH &amp; SCF"),OR(N15="",N15="ONICON Select"),OR(O15="",O15="ONICON Select")),VLOOKUP(I15,'App Code Lookup'!$B$4:$V$15,18,FALSE),IF(AND(LEFT('Model Selection'!C15,6)="F-5500",'Model Selection'!D15&lt;&gt;"Insertion",RIGHT('Model Selection'!E15,5)="Pulse",LEFT('Model Selection'!H15,4)="ANSI",MID('Model Selection'!L15,8,1)="4",E15="Natural Gas",I15&lt;&gt;"",OR(L15="",L15="SCFH &amp; SCF"),OR(N15="",N15="ONICON Select"),OR(O15="",O15="ONICON Select")),VLOOKUP(I15,'App Code Lookup'!$B$4:$V$15,19,FALSE),"New App Code")))))))))))))))))))))</f>
        <v/>
      </c>
    </row>
    <row r="16" spans="2:16" ht="30" customHeight="1" x14ac:dyDescent="0.25">
      <c r="B16" s="34">
        <v>5</v>
      </c>
      <c r="C16" s="14" t="str">
        <f>IF(OR('Model Selection'!L16="Form Not Complete",'Model Selection'!L16="Model Number Not Valid"),"",'Model Selection'!L16)</f>
        <v/>
      </c>
      <c r="D16" s="8"/>
      <c r="E16" s="120"/>
      <c r="F16" s="127"/>
      <c r="G16" s="124"/>
      <c r="H16" s="8"/>
      <c r="I16" s="97" t="str">
        <f>IF('Model Selection'!D16="Insertion","",IF('Model Selection'!D16="","",VLOOKUP('Model Selection'!D16,Reference!$C$2:$E$11,3,FALSE)))</f>
        <v/>
      </c>
      <c r="J16" s="8"/>
      <c r="K16" s="8"/>
      <c r="L16" s="8"/>
      <c r="M16" s="8"/>
      <c r="N16" s="8" t="str">
        <f>IF('Model Selection'!C16=Reference!$A$2,"ONICON Select","")</f>
        <v/>
      </c>
      <c r="O16" s="8" t="str">
        <f>IF(OR('Model Selection'!E16=Reference!$I$3,'Model Selection'!E16=Reference!$I$5),"N/A",IF('Model Selection'!C16=Reference!$A$2,"ONICON Select",""))</f>
        <v/>
      </c>
      <c r="P16" s="15" t="str">
        <f>IF('Model Selection'!L16="Form Not Complete","",IF(AND(LEFT('Model Selection'!C16,6)="F-5400",'Model Selection'!D16="Insertion",LEFT('Model Selection'!I16,13)="Insertion w/o",E16="Natural Gas",I16&lt;&gt;"",OR(L16="",L16="SCFH &amp; SCF"),OR(N16="",N16="ONICON Select")),VLOOKUP(I16,'App Code Lookup'!$B$19:$J$30,8,FALSE),IF(AND(LEFT('Model Selection'!C16,6)="F-5400",'Model Selection'!D16="Insertion",LEFT('Model Selection'!I16,13)="Insertion w/ ",E16="Natural Gas",I16&lt;&gt;"",OR(L16="",L16="SCFH &amp; SCF"),OR(N16="",N16="ONICON Select")),VLOOKUP(I16,'App Code Lookup'!$B$19:$J$30,9,FALSE),IF(AND(LEFT('Model Selection'!C16,6)="F-5400",'Model Selection'!D16&lt;&gt;"Insertion",LEFT('Model Selection'!H16,8)="Threaded",E16="Natural Gas",I16&lt;&gt;"",OR(L16="",L16="SCFH &amp; SCF"),OR(N16="",N16="ONICON Select")),VLOOKUP(I16,'App Code Lookup'!$B$19:$J$30,6,FALSE),IF(AND(LEFT('Model Selection'!C16,6)="F-5400",'Model Selection'!D16&lt;&gt;"Insertion",LEFT('Model Selection'!H16,4)="ANSI",E16="Natural Gas",I16&lt;&gt;"",OR(L16="",L16="SCFH &amp; SCF"),OR(N16="",N16="ONICON Select")),VLOOKUP(I16,'App Code Lookup'!$B$19:$J$30,7,FALSE),IF(AND(LEFT('Model Selection'!C16,6)="F-5500",'Model Selection'!D16="Insertion",RIGHT('Model Selection'!E16,5)="DBUS)",LEFT('Model Selection'!I16,13)="Insertion w/o",E16="Natural Gas",I16&lt;&gt;"",OR(L16="",L16="SCFH &amp; SCF"),M16="BACnet",OR(N16="",N16="ONICON Select")),VLOOKUP(I16,'App Code Lookup'!$B$4:$V$15,16,FALSE),IF(AND(LEFT('Model Selection'!C16,6)="F-5500",'Model Selection'!D16="Insertion",RIGHT('Model Selection'!E16,5)="DBUS)",LEFT('Model Selection'!I16,13)="Insertion w/ ",E16="Natural Gas",I16&lt;&gt;"",OR(L16="",L16="SCFH &amp; SCF"),M16="BACnet",OR(N16="",N16="ONICON Select")),VLOOKUP(I16,'App Code Lookup'!$B$4:$V$15,17,FALSE),IF(AND(LEFT('Model Selection'!C16,6)="F-5500",'Model Selection'!D16&lt;&gt;"Insertion",RIGHT('Model Selection'!E16,5)="DBUS)",LEFT('Model Selection'!H16,8)="Threaded",E16="Natural Gas",I16&lt;&gt;"",OR(L16="",L16="SCFH &amp; SCF"),M16="BACnet",OR(N16="",N16="ONICON Select")),VLOOKUP(I16,'App Code Lookup'!$B$4:$V$15,14,FALSE),IF(AND(LEFT('Model Selection'!C16,6)="F-5500",'Model Selection'!D16&lt;&gt;"Insertion",RIGHT('Model Selection'!E16,5)="DBUS)",LEFT('Model Selection'!H16,4)="ANSI",E16="Natural Gas",I16&lt;&gt;"",OR(L16="",L16="SCFH &amp; SCF"),M16="BACnet",OR(N16="",N16="ONICON Select")),VLOOKUP(I16,'App Code Lookup'!$B$4:$V$15,15,FALSE),IF(AND(LEFT('Model Selection'!C16,6)="F-5500",'Model Selection'!D16="Insertion",RIGHT('Model Selection'!E16,5)="DBUS)",LEFT('Model Selection'!I16,13)="Insertion w/o",E16="Natural Gas",I16&lt;&gt;"",OR(L16="",L16="SCFH &amp; SCF"),M16="MODBUS",OR(N16="",N16="ONICON Select")),VLOOKUP(I16,'App Code Lookup'!$B$4:$V$15,12,FALSE),IF(AND(LEFT('Model Selection'!C16,6)="F-5500",'Model Selection'!D16="Insertion",RIGHT('Model Selection'!E16,5)="DBUS)",LEFT('Model Selection'!I16,13)="Insertion w/ ",E16="Natural Gas",I16&lt;&gt;"",OR(L16="",L16="SCFH &amp; SCF"),M16="MODBUS",OR(N16="",N16="ONICON Select")),VLOOKUP(I16,'App Code Lookup'!$B$4:$V$15,13,FALSE),IF(AND(LEFT('Model Selection'!C16,6)="F-5500",'Model Selection'!D16&lt;&gt;"Insertion",RIGHT('Model Selection'!E16,5)="DBUS)",LEFT('Model Selection'!H16,8)="Threaded",E16="Natural Gas",I16&lt;&gt;"",OR(L16="",L16="SCFH &amp; SCF"),M16="MODBUS",OR(N16="",N16="ONICON Select")),VLOOKUP(I16,'App Code Lookup'!$B$4:$V$15,10,FALSE),IF(AND(LEFT('Model Selection'!C16,6)="F-5500",'Model Selection'!D16&lt;&gt;"Insertion",RIGHT('Model Selection'!E16,5)="DBUS)",LEFT('Model Selection'!H16,4)="ANSI",E16="Natural Gas",I16&lt;&gt;"",OR(L16="",L16="SCFH &amp; SCF"),M16="MODBUS",OR(N16="",N16="ONICON Select")),VLOOKUP(I16,'App Code Lookup'!$B$4:$V$15,11,FALSE),IF(AND(LEFT('Model Selection'!C16,6)="F-5500",'Model Selection'!D16="Insertion",RIGHT('Model Selection'!E16,5)="Pulse",LEFT('Model Selection'!I16,13)="Insertion w/o",MID('Model Selection'!L16,8,1)="2",E16="Natural Gas",I16&lt;&gt;"",OR(L16="",L16="SCFH &amp; SCF"),OR(N16="",N16="ONICON Select"),OR(O16="",O16="ONICON Select")),VLOOKUP(I16,'App Code Lookup'!$B$4:$V$15,8,FALSE),IF(AND(LEFT('Model Selection'!C16,6)="F-5500",'Model Selection'!D16="Insertion",RIGHT('Model Selection'!E16,5)="Pulse",LEFT('Model Selection'!I16,13)="Insertion w/ ",MID('Model Selection'!L16,8,1)="2",E16="Natural Gas",I16&lt;&gt;"",OR(L16="",L16="SCFH &amp; SCF"),OR(N16="",N16="ONICON Select"),OR(O16="",O16="ONICON Select")),VLOOKUP(I16,'App Code Lookup'!$B$4:$V$15,9,FALSE),IF(AND(LEFT('Model Selection'!C16,6)="F-5500",'Model Selection'!D16&lt;&gt;"Insertion",RIGHT('Model Selection'!E16,5)="Pulse",LEFT('Model Selection'!H16,8)="Threaded",MID('Model Selection'!L16,8,1)="2",E16="Natural Gas",I16&lt;&gt;"",OR(L16="",L16="SCFH &amp; SCF"),OR(N16="",N16="ONICON Select"),OR(O16="",O16="ONICON Select")),VLOOKUP(I16,'App Code Lookup'!$B$4:$V$15,6,FALSE),IF(AND(LEFT('Model Selection'!C16,6)="F-5500",'Model Selection'!D16&lt;&gt;"Insertion",RIGHT('Model Selection'!E16,5)="Pulse",LEFT('Model Selection'!H16,4)="ANSI",MID('Model Selection'!L16,8,1)="2",E16="Natural Gas",I16&lt;&gt;"",OR(L16="",L16="SCFH &amp; SCF"),OR(N16="",N16="ONICON Select"),OR(O16="",O16="ONICON Select")),VLOOKUP(I16,'App Code Lookup'!$B$4:$V$15,7,FALSE),IF(AND(LEFT('Model Selection'!C16,6)="F-5500",'Model Selection'!D16="Insertion",RIGHT('Model Selection'!E16,5)="Pulse",LEFT('Model Selection'!I16,13)="Insertion w/o",MID('Model Selection'!L16,8,1)="4",E16="Natural Gas",I16&lt;&gt;"",OR(L16="",L16="SCFH &amp; SCF"),OR(N16="",N16="ONICON Select"),OR(O16="",O16="ONICON Select")),VLOOKUP(I16,'App Code Lookup'!$B$4:$V$15,20,FALSE),IF(AND(LEFT('Model Selection'!C16,6)="F-5500",'Model Selection'!D16="Insertion",RIGHT('Model Selection'!E16,5)="Pulse",LEFT('Model Selection'!I16,13)="Insertion w/ ",MID('Model Selection'!L16,8,1)="4",E16="Natural Gas",I16&lt;&gt;"",OR(L16="",L16="SCFH &amp; SCF"),OR(N16="",N16="ONICON Select"),OR(O16="",O16="ONICON Select")),VLOOKUP(I16,'App Code Lookup'!$B$4:$V$15,21,FALSE),IF(AND(LEFT('Model Selection'!C16,6)="F-5500",'Model Selection'!D16&lt;&gt;"Insertion",RIGHT('Model Selection'!E16,5)="Pulse",LEFT('Model Selection'!H16,8)="Threaded",MID('Model Selection'!L16,8,1)="4",E16="Natural Gas",I16&lt;&gt;"",OR(L16="",L16="SCFH &amp; SCF"),OR(N16="",N16="ONICON Select"),OR(O16="",O16="ONICON Select")),VLOOKUP(I16,'App Code Lookup'!$B$4:$V$15,18,FALSE),IF(AND(LEFT('Model Selection'!C16,6)="F-5500",'Model Selection'!D16&lt;&gt;"Insertion",RIGHT('Model Selection'!E16,5)="Pulse",LEFT('Model Selection'!H16,4)="ANSI",MID('Model Selection'!L16,8,1)="4",E16="Natural Gas",I16&lt;&gt;"",OR(L16="",L16="SCFH &amp; SCF"),OR(N16="",N16="ONICON Select"),OR(O16="",O16="ONICON Select")),VLOOKUP(I16,'App Code Lookup'!$B$4:$V$15,19,FALSE),"New App Code")))))))))))))))))))))</f>
        <v/>
      </c>
    </row>
    <row r="17" spans="2:16" ht="30" customHeight="1" x14ac:dyDescent="0.25">
      <c r="B17" s="33">
        <v>6</v>
      </c>
      <c r="C17" s="12" t="str">
        <f>IF(OR('Model Selection'!L17="Form Not Complete",'Model Selection'!L17="Model Number Not Valid"),"",'Model Selection'!L17)</f>
        <v/>
      </c>
      <c r="D17" s="7"/>
      <c r="E17" s="119"/>
      <c r="F17" s="126"/>
      <c r="G17" s="123"/>
      <c r="H17" s="7"/>
      <c r="I17" s="96" t="str">
        <f>IF('Model Selection'!D17="Insertion","",IF('Model Selection'!D17="","",VLOOKUP('Model Selection'!D17,Reference!$C$2:$E$11,3,FALSE)))</f>
        <v/>
      </c>
      <c r="J17" s="7"/>
      <c r="K17" s="7"/>
      <c r="L17" s="7"/>
      <c r="M17" s="7"/>
      <c r="N17" s="7" t="str">
        <f>IF('Model Selection'!C17=Reference!$A$2,"ONICON Select","")</f>
        <v/>
      </c>
      <c r="O17" s="7" t="str">
        <f>IF(OR('Model Selection'!E17=Reference!$I$3,'Model Selection'!E17=Reference!$I$5),"N/A",IF('Model Selection'!C17=Reference!$A$2,"ONICON Select",""))</f>
        <v/>
      </c>
      <c r="P17" s="13" t="str">
        <f>IF('Model Selection'!L17="Form Not Complete","",IF(AND(LEFT('Model Selection'!C17,6)="F-5400",'Model Selection'!D17="Insertion",LEFT('Model Selection'!I17,13)="Insertion w/o",E17="Natural Gas",I17&lt;&gt;"",OR(L17="",L17="SCFH &amp; SCF"),OR(N17="",N17="ONICON Select")),VLOOKUP(I17,'App Code Lookup'!$B$19:$J$30,8,FALSE),IF(AND(LEFT('Model Selection'!C17,6)="F-5400",'Model Selection'!D17="Insertion",LEFT('Model Selection'!I17,13)="Insertion w/ ",E17="Natural Gas",I17&lt;&gt;"",OR(L17="",L17="SCFH &amp; SCF"),OR(N17="",N17="ONICON Select")),VLOOKUP(I17,'App Code Lookup'!$B$19:$J$30,9,FALSE),IF(AND(LEFT('Model Selection'!C17,6)="F-5400",'Model Selection'!D17&lt;&gt;"Insertion",LEFT('Model Selection'!H17,8)="Threaded",E17="Natural Gas",I17&lt;&gt;"",OR(L17="",L17="SCFH &amp; SCF"),OR(N17="",N17="ONICON Select")),VLOOKUP(I17,'App Code Lookup'!$B$19:$J$30,6,FALSE),IF(AND(LEFT('Model Selection'!C17,6)="F-5400",'Model Selection'!D17&lt;&gt;"Insertion",LEFT('Model Selection'!H17,4)="ANSI",E17="Natural Gas",I17&lt;&gt;"",OR(L17="",L17="SCFH &amp; SCF"),OR(N17="",N17="ONICON Select")),VLOOKUP(I17,'App Code Lookup'!$B$19:$J$30,7,FALSE),IF(AND(LEFT('Model Selection'!C17,6)="F-5500",'Model Selection'!D17="Insertion",RIGHT('Model Selection'!E17,5)="DBUS)",LEFT('Model Selection'!I17,13)="Insertion w/o",E17="Natural Gas",I17&lt;&gt;"",OR(L17="",L17="SCFH &amp; SCF"),M17="BACnet",OR(N17="",N17="ONICON Select")),VLOOKUP(I17,'App Code Lookup'!$B$4:$V$15,16,FALSE),IF(AND(LEFT('Model Selection'!C17,6)="F-5500",'Model Selection'!D17="Insertion",RIGHT('Model Selection'!E17,5)="DBUS)",LEFT('Model Selection'!I17,13)="Insertion w/ ",E17="Natural Gas",I17&lt;&gt;"",OR(L17="",L17="SCFH &amp; SCF"),M17="BACnet",OR(N17="",N17="ONICON Select")),VLOOKUP(I17,'App Code Lookup'!$B$4:$V$15,17,FALSE),IF(AND(LEFT('Model Selection'!C17,6)="F-5500",'Model Selection'!D17&lt;&gt;"Insertion",RIGHT('Model Selection'!E17,5)="DBUS)",LEFT('Model Selection'!H17,8)="Threaded",E17="Natural Gas",I17&lt;&gt;"",OR(L17="",L17="SCFH &amp; SCF"),M17="BACnet",OR(N17="",N17="ONICON Select")),VLOOKUP(I17,'App Code Lookup'!$B$4:$V$15,14,FALSE),IF(AND(LEFT('Model Selection'!C17,6)="F-5500",'Model Selection'!D17&lt;&gt;"Insertion",RIGHT('Model Selection'!E17,5)="DBUS)",LEFT('Model Selection'!H17,4)="ANSI",E17="Natural Gas",I17&lt;&gt;"",OR(L17="",L17="SCFH &amp; SCF"),M17="BACnet",OR(N17="",N17="ONICON Select")),VLOOKUP(I17,'App Code Lookup'!$B$4:$V$15,15,FALSE),IF(AND(LEFT('Model Selection'!C17,6)="F-5500",'Model Selection'!D17="Insertion",RIGHT('Model Selection'!E17,5)="DBUS)",LEFT('Model Selection'!I17,13)="Insertion w/o",E17="Natural Gas",I17&lt;&gt;"",OR(L17="",L17="SCFH &amp; SCF"),M17="MODBUS",OR(N17="",N17="ONICON Select")),VLOOKUP(I17,'App Code Lookup'!$B$4:$V$15,12,FALSE),IF(AND(LEFT('Model Selection'!C17,6)="F-5500",'Model Selection'!D17="Insertion",RIGHT('Model Selection'!E17,5)="DBUS)",LEFT('Model Selection'!I17,13)="Insertion w/ ",E17="Natural Gas",I17&lt;&gt;"",OR(L17="",L17="SCFH &amp; SCF"),M17="MODBUS",OR(N17="",N17="ONICON Select")),VLOOKUP(I17,'App Code Lookup'!$B$4:$V$15,13,FALSE),IF(AND(LEFT('Model Selection'!C17,6)="F-5500",'Model Selection'!D17&lt;&gt;"Insertion",RIGHT('Model Selection'!E17,5)="DBUS)",LEFT('Model Selection'!H17,8)="Threaded",E17="Natural Gas",I17&lt;&gt;"",OR(L17="",L17="SCFH &amp; SCF"),M17="MODBUS",OR(N17="",N17="ONICON Select")),VLOOKUP(I17,'App Code Lookup'!$B$4:$V$15,10,FALSE),IF(AND(LEFT('Model Selection'!C17,6)="F-5500",'Model Selection'!D17&lt;&gt;"Insertion",RIGHT('Model Selection'!E17,5)="DBUS)",LEFT('Model Selection'!H17,4)="ANSI",E17="Natural Gas",I17&lt;&gt;"",OR(L17="",L17="SCFH &amp; SCF"),M17="MODBUS",OR(N17="",N17="ONICON Select")),VLOOKUP(I17,'App Code Lookup'!$B$4:$V$15,11,FALSE),IF(AND(LEFT('Model Selection'!C17,6)="F-5500",'Model Selection'!D17="Insertion",RIGHT('Model Selection'!E17,5)="Pulse",LEFT('Model Selection'!I17,13)="Insertion w/o",MID('Model Selection'!L17,8,1)="2",E17="Natural Gas",I17&lt;&gt;"",OR(L17="",L17="SCFH &amp; SCF"),OR(N17="",N17="ONICON Select"),OR(O17="",O17="ONICON Select")),VLOOKUP(I17,'App Code Lookup'!$B$4:$V$15,8,FALSE),IF(AND(LEFT('Model Selection'!C17,6)="F-5500",'Model Selection'!D17="Insertion",RIGHT('Model Selection'!E17,5)="Pulse",LEFT('Model Selection'!I17,13)="Insertion w/ ",MID('Model Selection'!L17,8,1)="2",E17="Natural Gas",I17&lt;&gt;"",OR(L17="",L17="SCFH &amp; SCF"),OR(N17="",N17="ONICON Select"),OR(O17="",O17="ONICON Select")),VLOOKUP(I17,'App Code Lookup'!$B$4:$V$15,9,FALSE),IF(AND(LEFT('Model Selection'!C17,6)="F-5500",'Model Selection'!D17&lt;&gt;"Insertion",RIGHT('Model Selection'!E17,5)="Pulse",LEFT('Model Selection'!H17,8)="Threaded",MID('Model Selection'!L17,8,1)="2",E17="Natural Gas",I17&lt;&gt;"",OR(L17="",L17="SCFH &amp; SCF"),OR(N17="",N17="ONICON Select"),OR(O17="",O17="ONICON Select")),VLOOKUP(I17,'App Code Lookup'!$B$4:$V$15,6,FALSE),IF(AND(LEFT('Model Selection'!C17,6)="F-5500",'Model Selection'!D17&lt;&gt;"Insertion",RIGHT('Model Selection'!E17,5)="Pulse",LEFT('Model Selection'!H17,4)="ANSI",MID('Model Selection'!L17,8,1)="2",E17="Natural Gas",I17&lt;&gt;"",OR(L17="",L17="SCFH &amp; SCF"),OR(N17="",N17="ONICON Select"),OR(O17="",O17="ONICON Select")),VLOOKUP(I17,'App Code Lookup'!$B$4:$V$15,7,FALSE),IF(AND(LEFT('Model Selection'!C17,6)="F-5500",'Model Selection'!D17="Insertion",RIGHT('Model Selection'!E17,5)="Pulse",LEFT('Model Selection'!I17,13)="Insertion w/o",MID('Model Selection'!L17,8,1)="4",E17="Natural Gas",I17&lt;&gt;"",OR(L17="",L17="SCFH &amp; SCF"),OR(N17="",N17="ONICON Select"),OR(O17="",O17="ONICON Select")),VLOOKUP(I17,'App Code Lookup'!$B$4:$V$15,20,FALSE),IF(AND(LEFT('Model Selection'!C17,6)="F-5500",'Model Selection'!D17="Insertion",RIGHT('Model Selection'!E17,5)="Pulse",LEFT('Model Selection'!I17,13)="Insertion w/ ",MID('Model Selection'!L17,8,1)="4",E17="Natural Gas",I17&lt;&gt;"",OR(L17="",L17="SCFH &amp; SCF"),OR(N17="",N17="ONICON Select"),OR(O17="",O17="ONICON Select")),VLOOKUP(I17,'App Code Lookup'!$B$4:$V$15,21,FALSE),IF(AND(LEFT('Model Selection'!C17,6)="F-5500",'Model Selection'!D17&lt;&gt;"Insertion",RIGHT('Model Selection'!E17,5)="Pulse",LEFT('Model Selection'!H17,8)="Threaded",MID('Model Selection'!L17,8,1)="4",E17="Natural Gas",I17&lt;&gt;"",OR(L17="",L17="SCFH &amp; SCF"),OR(N17="",N17="ONICON Select"),OR(O17="",O17="ONICON Select")),VLOOKUP(I17,'App Code Lookup'!$B$4:$V$15,18,FALSE),IF(AND(LEFT('Model Selection'!C17,6)="F-5500",'Model Selection'!D17&lt;&gt;"Insertion",RIGHT('Model Selection'!E17,5)="Pulse",LEFT('Model Selection'!H17,4)="ANSI",MID('Model Selection'!L17,8,1)="4",E17="Natural Gas",I17&lt;&gt;"",OR(L17="",L17="SCFH &amp; SCF"),OR(N17="",N17="ONICON Select"),OR(O17="",O17="ONICON Select")),VLOOKUP(I17,'App Code Lookup'!$B$4:$V$15,19,FALSE),"New App Code")))))))))))))))))))))</f>
        <v/>
      </c>
    </row>
    <row r="18" spans="2:16" ht="30" customHeight="1" x14ac:dyDescent="0.25">
      <c r="B18" s="34">
        <v>7</v>
      </c>
      <c r="C18" s="14" t="str">
        <f>IF(OR('Model Selection'!L18="Form Not Complete",'Model Selection'!L18="Model Number Not Valid"),"",'Model Selection'!L18)</f>
        <v/>
      </c>
      <c r="D18" s="8"/>
      <c r="E18" s="120"/>
      <c r="F18" s="127"/>
      <c r="G18" s="124"/>
      <c r="H18" s="8"/>
      <c r="I18" s="97" t="str">
        <f>IF('Model Selection'!D18="Insertion","",IF('Model Selection'!D18="","",VLOOKUP('Model Selection'!D18,Reference!$C$2:$E$11,3,FALSE)))</f>
        <v/>
      </c>
      <c r="J18" s="8"/>
      <c r="K18" s="8"/>
      <c r="L18" s="8"/>
      <c r="M18" s="8"/>
      <c r="N18" s="8" t="str">
        <f>IF('Model Selection'!C18=Reference!$A$2,"ONICON Select","")</f>
        <v/>
      </c>
      <c r="O18" s="8" t="str">
        <f>IF(OR('Model Selection'!E18=Reference!$I$3,'Model Selection'!E18=Reference!$I$5),"N/A",IF('Model Selection'!C18=Reference!$A$2,"ONICON Select",""))</f>
        <v/>
      </c>
      <c r="P18" s="15" t="str">
        <f>IF('Model Selection'!L18="Form Not Complete","",IF(AND(LEFT('Model Selection'!C18,6)="F-5400",'Model Selection'!D18="Insertion",LEFT('Model Selection'!I18,13)="Insertion w/o",E18="Natural Gas",I18&lt;&gt;"",OR(L18="",L18="SCFH &amp; SCF"),OR(N18="",N18="ONICON Select")),VLOOKUP(I18,'App Code Lookup'!$B$19:$J$30,8,FALSE),IF(AND(LEFT('Model Selection'!C18,6)="F-5400",'Model Selection'!D18="Insertion",LEFT('Model Selection'!I18,13)="Insertion w/ ",E18="Natural Gas",I18&lt;&gt;"",OR(L18="",L18="SCFH &amp; SCF"),OR(N18="",N18="ONICON Select")),VLOOKUP(I18,'App Code Lookup'!$B$19:$J$30,9,FALSE),IF(AND(LEFT('Model Selection'!C18,6)="F-5400",'Model Selection'!D18&lt;&gt;"Insertion",LEFT('Model Selection'!H18,8)="Threaded",E18="Natural Gas",I18&lt;&gt;"",OR(L18="",L18="SCFH &amp; SCF"),OR(N18="",N18="ONICON Select")),VLOOKUP(I18,'App Code Lookup'!$B$19:$J$30,6,FALSE),IF(AND(LEFT('Model Selection'!C18,6)="F-5400",'Model Selection'!D18&lt;&gt;"Insertion",LEFT('Model Selection'!H18,4)="ANSI",E18="Natural Gas",I18&lt;&gt;"",OR(L18="",L18="SCFH &amp; SCF"),OR(N18="",N18="ONICON Select")),VLOOKUP(I18,'App Code Lookup'!$B$19:$J$30,7,FALSE),IF(AND(LEFT('Model Selection'!C18,6)="F-5500",'Model Selection'!D18="Insertion",RIGHT('Model Selection'!E18,5)="DBUS)",LEFT('Model Selection'!I18,13)="Insertion w/o",E18="Natural Gas",I18&lt;&gt;"",OR(L18="",L18="SCFH &amp; SCF"),M18="BACnet",OR(N18="",N18="ONICON Select")),VLOOKUP(I18,'App Code Lookup'!$B$4:$V$15,16,FALSE),IF(AND(LEFT('Model Selection'!C18,6)="F-5500",'Model Selection'!D18="Insertion",RIGHT('Model Selection'!E18,5)="DBUS)",LEFT('Model Selection'!I18,13)="Insertion w/ ",E18="Natural Gas",I18&lt;&gt;"",OR(L18="",L18="SCFH &amp; SCF"),M18="BACnet",OR(N18="",N18="ONICON Select")),VLOOKUP(I18,'App Code Lookup'!$B$4:$V$15,17,FALSE),IF(AND(LEFT('Model Selection'!C18,6)="F-5500",'Model Selection'!D18&lt;&gt;"Insertion",RIGHT('Model Selection'!E18,5)="DBUS)",LEFT('Model Selection'!H18,8)="Threaded",E18="Natural Gas",I18&lt;&gt;"",OR(L18="",L18="SCFH &amp; SCF"),M18="BACnet",OR(N18="",N18="ONICON Select")),VLOOKUP(I18,'App Code Lookup'!$B$4:$V$15,14,FALSE),IF(AND(LEFT('Model Selection'!C18,6)="F-5500",'Model Selection'!D18&lt;&gt;"Insertion",RIGHT('Model Selection'!E18,5)="DBUS)",LEFT('Model Selection'!H18,4)="ANSI",E18="Natural Gas",I18&lt;&gt;"",OR(L18="",L18="SCFH &amp; SCF"),M18="BACnet",OR(N18="",N18="ONICON Select")),VLOOKUP(I18,'App Code Lookup'!$B$4:$V$15,15,FALSE),IF(AND(LEFT('Model Selection'!C18,6)="F-5500",'Model Selection'!D18="Insertion",RIGHT('Model Selection'!E18,5)="DBUS)",LEFT('Model Selection'!I18,13)="Insertion w/o",E18="Natural Gas",I18&lt;&gt;"",OR(L18="",L18="SCFH &amp; SCF"),M18="MODBUS",OR(N18="",N18="ONICON Select")),VLOOKUP(I18,'App Code Lookup'!$B$4:$V$15,12,FALSE),IF(AND(LEFT('Model Selection'!C18,6)="F-5500",'Model Selection'!D18="Insertion",RIGHT('Model Selection'!E18,5)="DBUS)",LEFT('Model Selection'!I18,13)="Insertion w/ ",E18="Natural Gas",I18&lt;&gt;"",OR(L18="",L18="SCFH &amp; SCF"),M18="MODBUS",OR(N18="",N18="ONICON Select")),VLOOKUP(I18,'App Code Lookup'!$B$4:$V$15,13,FALSE),IF(AND(LEFT('Model Selection'!C18,6)="F-5500",'Model Selection'!D18&lt;&gt;"Insertion",RIGHT('Model Selection'!E18,5)="DBUS)",LEFT('Model Selection'!H18,8)="Threaded",E18="Natural Gas",I18&lt;&gt;"",OR(L18="",L18="SCFH &amp; SCF"),M18="MODBUS",OR(N18="",N18="ONICON Select")),VLOOKUP(I18,'App Code Lookup'!$B$4:$V$15,10,FALSE),IF(AND(LEFT('Model Selection'!C18,6)="F-5500",'Model Selection'!D18&lt;&gt;"Insertion",RIGHT('Model Selection'!E18,5)="DBUS)",LEFT('Model Selection'!H18,4)="ANSI",E18="Natural Gas",I18&lt;&gt;"",OR(L18="",L18="SCFH &amp; SCF"),M18="MODBUS",OR(N18="",N18="ONICON Select")),VLOOKUP(I18,'App Code Lookup'!$B$4:$V$15,11,FALSE),IF(AND(LEFT('Model Selection'!C18,6)="F-5500",'Model Selection'!D18="Insertion",RIGHT('Model Selection'!E18,5)="Pulse",LEFT('Model Selection'!I18,13)="Insertion w/o",MID('Model Selection'!L18,8,1)="2",E18="Natural Gas",I18&lt;&gt;"",OR(L18="",L18="SCFH &amp; SCF"),OR(N18="",N18="ONICON Select"),OR(O18="",O18="ONICON Select")),VLOOKUP(I18,'App Code Lookup'!$B$4:$V$15,8,FALSE),IF(AND(LEFT('Model Selection'!C18,6)="F-5500",'Model Selection'!D18="Insertion",RIGHT('Model Selection'!E18,5)="Pulse",LEFT('Model Selection'!I18,13)="Insertion w/ ",MID('Model Selection'!L18,8,1)="2",E18="Natural Gas",I18&lt;&gt;"",OR(L18="",L18="SCFH &amp; SCF"),OR(N18="",N18="ONICON Select"),OR(O18="",O18="ONICON Select")),VLOOKUP(I18,'App Code Lookup'!$B$4:$V$15,9,FALSE),IF(AND(LEFT('Model Selection'!C18,6)="F-5500",'Model Selection'!D18&lt;&gt;"Insertion",RIGHT('Model Selection'!E18,5)="Pulse",LEFT('Model Selection'!H18,8)="Threaded",MID('Model Selection'!L18,8,1)="2",E18="Natural Gas",I18&lt;&gt;"",OR(L18="",L18="SCFH &amp; SCF"),OR(N18="",N18="ONICON Select"),OR(O18="",O18="ONICON Select")),VLOOKUP(I18,'App Code Lookup'!$B$4:$V$15,6,FALSE),IF(AND(LEFT('Model Selection'!C18,6)="F-5500",'Model Selection'!D18&lt;&gt;"Insertion",RIGHT('Model Selection'!E18,5)="Pulse",LEFT('Model Selection'!H18,4)="ANSI",MID('Model Selection'!L18,8,1)="2",E18="Natural Gas",I18&lt;&gt;"",OR(L18="",L18="SCFH &amp; SCF"),OR(N18="",N18="ONICON Select"),OR(O18="",O18="ONICON Select")),VLOOKUP(I18,'App Code Lookup'!$B$4:$V$15,7,FALSE),IF(AND(LEFT('Model Selection'!C18,6)="F-5500",'Model Selection'!D18="Insertion",RIGHT('Model Selection'!E18,5)="Pulse",LEFT('Model Selection'!I18,13)="Insertion w/o",MID('Model Selection'!L18,8,1)="4",E18="Natural Gas",I18&lt;&gt;"",OR(L18="",L18="SCFH &amp; SCF"),OR(N18="",N18="ONICON Select"),OR(O18="",O18="ONICON Select")),VLOOKUP(I18,'App Code Lookup'!$B$4:$V$15,20,FALSE),IF(AND(LEFT('Model Selection'!C18,6)="F-5500",'Model Selection'!D18="Insertion",RIGHT('Model Selection'!E18,5)="Pulse",LEFT('Model Selection'!I18,13)="Insertion w/ ",MID('Model Selection'!L18,8,1)="4",E18="Natural Gas",I18&lt;&gt;"",OR(L18="",L18="SCFH &amp; SCF"),OR(N18="",N18="ONICON Select"),OR(O18="",O18="ONICON Select")),VLOOKUP(I18,'App Code Lookup'!$B$4:$V$15,21,FALSE),IF(AND(LEFT('Model Selection'!C18,6)="F-5500",'Model Selection'!D18&lt;&gt;"Insertion",RIGHT('Model Selection'!E18,5)="Pulse",LEFT('Model Selection'!H18,8)="Threaded",MID('Model Selection'!L18,8,1)="4",E18="Natural Gas",I18&lt;&gt;"",OR(L18="",L18="SCFH &amp; SCF"),OR(N18="",N18="ONICON Select"),OR(O18="",O18="ONICON Select")),VLOOKUP(I18,'App Code Lookup'!$B$4:$V$15,18,FALSE),IF(AND(LEFT('Model Selection'!C18,6)="F-5500",'Model Selection'!D18&lt;&gt;"Insertion",RIGHT('Model Selection'!E18,5)="Pulse",LEFT('Model Selection'!H18,4)="ANSI",MID('Model Selection'!L18,8,1)="4",E18="Natural Gas",I18&lt;&gt;"",OR(L18="",L18="SCFH &amp; SCF"),OR(N18="",N18="ONICON Select"),OR(O18="",O18="ONICON Select")),VLOOKUP(I18,'App Code Lookup'!$B$4:$V$15,19,FALSE),"New App Code")))))))))))))))))))))</f>
        <v/>
      </c>
    </row>
    <row r="19" spans="2:16" ht="30" customHeight="1" x14ac:dyDescent="0.25">
      <c r="B19" s="33">
        <v>8</v>
      </c>
      <c r="C19" s="12" t="str">
        <f>IF(OR('Model Selection'!L19="Form Not Complete",'Model Selection'!L19="Model Number Not Valid"),"",'Model Selection'!L19)</f>
        <v/>
      </c>
      <c r="D19" s="7"/>
      <c r="E19" s="119"/>
      <c r="F19" s="126"/>
      <c r="G19" s="123"/>
      <c r="H19" s="7"/>
      <c r="I19" s="96" t="str">
        <f>IF('Model Selection'!D19="Insertion","",IF('Model Selection'!D19="","",VLOOKUP('Model Selection'!D19,Reference!$C$2:$E$11,3,FALSE)))</f>
        <v/>
      </c>
      <c r="J19" s="7"/>
      <c r="K19" s="7"/>
      <c r="L19" s="7"/>
      <c r="M19" s="7"/>
      <c r="N19" s="7" t="str">
        <f>IF('Model Selection'!C19=Reference!$A$2,"ONICON Select","")</f>
        <v/>
      </c>
      <c r="O19" s="7" t="str">
        <f>IF(OR('Model Selection'!E19=Reference!$I$3,'Model Selection'!E19=Reference!$I$5),"N/A",IF('Model Selection'!C19=Reference!$A$2,"ONICON Select",""))</f>
        <v/>
      </c>
      <c r="P19" s="13" t="str">
        <f>IF('Model Selection'!L19="Form Not Complete","",IF(AND(LEFT('Model Selection'!C19,6)="F-5400",'Model Selection'!D19="Insertion",LEFT('Model Selection'!I19,13)="Insertion w/o",E19="Natural Gas",I19&lt;&gt;"",OR(L19="",L19="SCFH &amp; SCF"),OR(N19="",N19="ONICON Select")),VLOOKUP(I19,'App Code Lookup'!$B$19:$J$30,8,FALSE),IF(AND(LEFT('Model Selection'!C19,6)="F-5400",'Model Selection'!D19="Insertion",LEFT('Model Selection'!I19,13)="Insertion w/ ",E19="Natural Gas",I19&lt;&gt;"",OR(L19="",L19="SCFH &amp; SCF"),OR(N19="",N19="ONICON Select")),VLOOKUP(I19,'App Code Lookup'!$B$19:$J$30,9,FALSE),IF(AND(LEFT('Model Selection'!C19,6)="F-5400",'Model Selection'!D19&lt;&gt;"Insertion",LEFT('Model Selection'!H19,8)="Threaded",E19="Natural Gas",I19&lt;&gt;"",OR(L19="",L19="SCFH &amp; SCF"),OR(N19="",N19="ONICON Select")),VLOOKUP(I19,'App Code Lookup'!$B$19:$J$30,6,FALSE),IF(AND(LEFT('Model Selection'!C19,6)="F-5400",'Model Selection'!D19&lt;&gt;"Insertion",LEFT('Model Selection'!H19,4)="ANSI",E19="Natural Gas",I19&lt;&gt;"",OR(L19="",L19="SCFH &amp; SCF"),OR(N19="",N19="ONICON Select")),VLOOKUP(I19,'App Code Lookup'!$B$19:$J$30,7,FALSE),IF(AND(LEFT('Model Selection'!C19,6)="F-5500",'Model Selection'!D19="Insertion",RIGHT('Model Selection'!E19,5)="DBUS)",LEFT('Model Selection'!I19,13)="Insertion w/o",E19="Natural Gas",I19&lt;&gt;"",OR(L19="",L19="SCFH &amp; SCF"),M19="BACnet",OR(N19="",N19="ONICON Select")),VLOOKUP(I19,'App Code Lookup'!$B$4:$V$15,16,FALSE),IF(AND(LEFT('Model Selection'!C19,6)="F-5500",'Model Selection'!D19="Insertion",RIGHT('Model Selection'!E19,5)="DBUS)",LEFT('Model Selection'!I19,13)="Insertion w/ ",E19="Natural Gas",I19&lt;&gt;"",OR(L19="",L19="SCFH &amp; SCF"),M19="BACnet",OR(N19="",N19="ONICON Select")),VLOOKUP(I19,'App Code Lookup'!$B$4:$V$15,17,FALSE),IF(AND(LEFT('Model Selection'!C19,6)="F-5500",'Model Selection'!D19&lt;&gt;"Insertion",RIGHT('Model Selection'!E19,5)="DBUS)",LEFT('Model Selection'!H19,8)="Threaded",E19="Natural Gas",I19&lt;&gt;"",OR(L19="",L19="SCFH &amp; SCF"),M19="BACnet",OR(N19="",N19="ONICON Select")),VLOOKUP(I19,'App Code Lookup'!$B$4:$V$15,14,FALSE),IF(AND(LEFT('Model Selection'!C19,6)="F-5500",'Model Selection'!D19&lt;&gt;"Insertion",RIGHT('Model Selection'!E19,5)="DBUS)",LEFT('Model Selection'!H19,4)="ANSI",E19="Natural Gas",I19&lt;&gt;"",OR(L19="",L19="SCFH &amp; SCF"),M19="BACnet",OR(N19="",N19="ONICON Select")),VLOOKUP(I19,'App Code Lookup'!$B$4:$V$15,15,FALSE),IF(AND(LEFT('Model Selection'!C19,6)="F-5500",'Model Selection'!D19="Insertion",RIGHT('Model Selection'!E19,5)="DBUS)",LEFT('Model Selection'!I19,13)="Insertion w/o",E19="Natural Gas",I19&lt;&gt;"",OR(L19="",L19="SCFH &amp; SCF"),M19="MODBUS",OR(N19="",N19="ONICON Select")),VLOOKUP(I19,'App Code Lookup'!$B$4:$V$15,12,FALSE),IF(AND(LEFT('Model Selection'!C19,6)="F-5500",'Model Selection'!D19="Insertion",RIGHT('Model Selection'!E19,5)="DBUS)",LEFT('Model Selection'!I19,13)="Insertion w/ ",E19="Natural Gas",I19&lt;&gt;"",OR(L19="",L19="SCFH &amp; SCF"),M19="MODBUS",OR(N19="",N19="ONICON Select")),VLOOKUP(I19,'App Code Lookup'!$B$4:$V$15,13,FALSE),IF(AND(LEFT('Model Selection'!C19,6)="F-5500",'Model Selection'!D19&lt;&gt;"Insertion",RIGHT('Model Selection'!E19,5)="DBUS)",LEFT('Model Selection'!H19,8)="Threaded",E19="Natural Gas",I19&lt;&gt;"",OR(L19="",L19="SCFH &amp; SCF"),M19="MODBUS",OR(N19="",N19="ONICON Select")),VLOOKUP(I19,'App Code Lookup'!$B$4:$V$15,10,FALSE),IF(AND(LEFT('Model Selection'!C19,6)="F-5500",'Model Selection'!D19&lt;&gt;"Insertion",RIGHT('Model Selection'!E19,5)="DBUS)",LEFT('Model Selection'!H19,4)="ANSI",E19="Natural Gas",I19&lt;&gt;"",OR(L19="",L19="SCFH &amp; SCF"),M19="MODBUS",OR(N19="",N19="ONICON Select")),VLOOKUP(I19,'App Code Lookup'!$B$4:$V$15,11,FALSE),IF(AND(LEFT('Model Selection'!C19,6)="F-5500",'Model Selection'!D19="Insertion",RIGHT('Model Selection'!E19,5)="Pulse",LEFT('Model Selection'!I19,13)="Insertion w/o",MID('Model Selection'!L19,8,1)="2",E19="Natural Gas",I19&lt;&gt;"",OR(L19="",L19="SCFH &amp; SCF"),OR(N19="",N19="ONICON Select"),OR(O19="",O19="ONICON Select")),VLOOKUP(I19,'App Code Lookup'!$B$4:$V$15,8,FALSE),IF(AND(LEFT('Model Selection'!C19,6)="F-5500",'Model Selection'!D19="Insertion",RIGHT('Model Selection'!E19,5)="Pulse",LEFT('Model Selection'!I19,13)="Insertion w/ ",MID('Model Selection'!L19,8,1)="2",E19="Natural Gas",I19&lt;&gt;"",OR(L19="",L19="SCFH &amp; SCF"),OR(N19="",N19="ONICON Select"),OR(O19="",O19="ONICON Select")),VLOOKUP(I19,'App Code Lookup'!$B$4:$V$15,9,FALSE),IF(AND(LEFT('Model Selection'!C19,6)="F-5500",'Model Selection'!D19&lt;&gt;"Insertion",RIGHT('Model Selection'!E19,5)="Pulse",LEFT('Model Selection'!H19,8)="Threaded",MID('Model Selection'!L19,8,1)="2",E19="Natural Gas",I19&lt;&gt;"",OR(L19="",L19="SCFH &amp; SCF"),OR(N19="",N19="ONICON Select"),OR(O19="",O19="ONICON Select")),VLOOKUP(I19,'App Code Lookup'!$B$4:$V$15,6,FALSE),IF(AND(LEFT('Model Selection'!C19,6)="F-5500",'Model Selection'!D19&lt;&gt;"Insertion",RIGHT('Model Selection'!E19,5)="Pulse",LEFT('Model Selection'!H19,4)="ANSI",MID('Model Selection'!L19,8,1)="2",E19="Natural Gas",I19&lt;&gt;"",OR(L19="",L19="SCFH &amp; SCF"),OR(N19="",N19="ONICON Select"),OR(O19="",O19="ONICON Select")),VLOOKUP(I19,'App Code Lookup'!$B$4:$V$15,7,FALSE),IF(AND(LEFT('Model Selection'!C19,6)="F-5500",'Model Selection'!D19="Insertion",RIGHT('Model Selection'!E19,5)="Pulse",LEFT('Model Selection'!I19,13)="Insertion w/o",MID('Model Selection'!L19,8,1)="4",E19="Natural Gas",I19&lt;&gt;"",OR(L19="",L19="SCFH &amp; SCF"),OR(N19="",N19="ONICON Select"),OR(O19="",O19="ONICON Select")),VLOOKUP(I19,'App Code Lookup'!$B$4:$V$15,20,FALSE),IF(AND(LEFT('Model Selection'!C19,6)="F-5500",'Model Selection'!D19="Insertion",RIGHT('Model Selection'!E19,5)="Pulse",LEFT('Model Selection'!I19,13)="Insertion w/ ",MID('Model Selection'!L19,8,1)="4",E19="Natural Gas",I19&lt;&gt;"",OR(L19="",L19="SCFH &amp; SCF"),OR(N19="",N19="ONICON Select"),OR(O19="",O19="ONICON Select")),VLOOKUP(I19,'App Code Lookup'!$B$4:$V$15,21,FALSE),IF(AND(LEFT('Model Selection'!C19,6)="F-5500",'Model Selection'!D19&lt;&gt;"Insertion",RIGHT('Model Selection'!E19,5)="Pulse",LEFT('Model Selection'!H19,8)="Threaded",MID('Model Selection'!L19,8,1)="4",E19="Natural Gas",I19&lt;&gt;"",OR(L19="",L19="SCFH &amp; SCF"),OR(N19="",N19="ONICON Select"),OR(O19="",O19="ONICON Select")),VLOOKUP(I19,'App Code Lookup'!$B$4:$V$15,18,FALSE),IF(AND(LEFT('Model Selection'!C19,6)="F-5500",'Model Selection'!D19&lt;&gt;"Insertion",RIGHT('Model Selection'!E19,5)="Pulse",LEFT('Model Selection'!H19,4)="ANSI",MID('Model Selection'!L19,8,1)="4",E19="Natural Gas",I19&lt;&gt;"",OR(L19="",L19="SCFH &amp; SCF"),OR(N19="",N19="ONICON Select"),OR(O19="",O19="ONICON Select")),VLOOKUP(I19,'App Code Lookup'!$B$4:$V$15,19,FALSE),"New App Code")))))))))))))))))))))</f>
        <v/>
      </c>
    </row>
    <row r="20" spans="2:16" ht="30" customHeight="1" x14ac:dyDescent="0.25">
      <c r="B20" s="34">
        <v>9</v>
      </c>
      <c r="C20" s="14" t="str">
        <f>IF(OR('Model Selection'!L20="Form Not Complete",'Model Selection'!L20="Model Number Not Valid"),"",'Model Selection'!L20)</f>
        <v/>
      </c>
      <c r="D20" s="8"/>
      <c r="E20" s="120"/>
      <c r="F20" s="127"/>
      <c r="G20" s="124"/>
      <c r="H20" s="8"/>
      <c r="I20" s="97" t="str">
        <f>IF('Model Selection'!D20="Insertion","",IF('Model Selection'!D20="","",VLOOKUP('Model Selection'!D20,Reference!$C$2:$E$11,3,FALSE)))</f>
        <v/>
      </c>
      <c r="J20" s="8"/>
      <c r="K20" s="8"/>
      <c r="L20" s="8"/>
      <c r="M20" s="8"/>
      <c r="N20" s="8" t="str">
        <f>IF('Model Selection'!C20=Reference!$A$2,"ONICON Select","")</f>
        <v/>
      </c>
      <c r="O20" s="8" t="str">
        <f>IF(OR('Model Selection'!E20=Reference!$I$3,'Model Selection'!E20=Reference!$I$5),"N/A",IF('Model Selection'!C20=Reference!$A$2,"ONICON Select",""))</f>
        <v/>
      </c>
      <c r="P20" s="15" t="str">
        <f>IF('Model Selection'!L20="Form Not Complete","",IF(AND(LEFT('Model Selection'!C20,6)="F-5400",'Model Selection'!D20="Insertion",LEFT('Model Selection'!I20,13)="Insertion w/o",E20="Natural Gas",I20&lt;&gt;"",OR(L20="",L20="SCFH &amp; SCF"),OR(N20="",N20="ONICON Select")),VLOOKUP(I20,'App Code Lookup'!$B$19:$J$30,8,FALSE),IF(AND(LEFT('Model Selection'!C20,6)="F-5400",'Model Selection'!D20="Insertion",LEFT('Model Selection'!I20,13)="Insertion w/ ",E20="Natural Gas",I20&lt;&gt;"",OR(L20="",L20="SCFH &amp; SCF"),OR(N20="",N20="ONICON Select")),VLOOKUP(I20,'App Code Lookup'!$B$19:$J$30,9,FALSE),IF(AND(LEFT('Model Selection'!C20,6)="F-5400",'Model Selection'!D20&lt;&gt;"Insertion",LEFT('Model Selection'!H20,8)="Threaded",E20="Natural Gas",I20&lt;&gt;"",OR(L20="",L20="SCFH &amp; SCF"),OR(N20="",N20="ONICON Select")),VLOOKUP(I20,'App Code Lookup'!$B$19:$J$30,6,FALSE),IF(AND(LEFT('Model Selection'!C20,6)="F-5400",'Model Selection'!D20&lt;&gt;"Insertion",LEFT('Model Selection'!H20,4)="ANSI",E20="Natural Gas",I20&lt;&gt;"",OR(L20="",L20="SCFH &amp; SCF"),OR(N20="",N20="ONICON Select")),VLOOKUP(I20,'App Code Lookup'!$B$19:$J$30,7,FALSE),IF(AND(LEFT('Model Selection'!C20,6)="F-5500",'Model Selection'!D20="Insertion",RIGHT('Model Selection'!E20,5)="DBUS)",LEFT('Model Selection'!I20,13)="Insertion w/o",E20="Natural Gas",I20&lt;&gt;"",OR(L20="",L20="SCFH &amp; SCF"),M20="BACnet",OR(N20="",N20="ONICON Select")),VLOOKUP(I20,'App Code Lookup'!$B$4:$V$15,16,FALSE),IF(AND(LEFT('Model Selection'!C20,6)="F-5500",'Model Selection'!D20="Insertion",RIGHT('Model Selection'!E20,5)="DBUS)",LEFT('Model Selection'!I20,13)="Insertion w/ ",E20="Natural Gas",I20&lt;&gt;"",OR(L20="",L20="SCFH &amp; SCF"),M20="BACnet",OR(N20="",N20="ONICON Select")),VLOOKUP(I20,'App Code Lookup'!$B$4:$V$15,17,FALSE),IF(AND(LEFT('Model Selection'!C20,6)="F-5500",'Model Selection'!D20&lt;&gt;"Insertion",RIGHT('Model Selection'!E20,5)="DBUS)",LEFT('Model Selection'!H20,8)="Threaded",E20="Natural Gas",I20&lt;&gt;"",OR(L20="",L20="SCFH &amp; SCF"),M20="BACnet",OR(N20="",N20="ONICON Select")),VLOOKUP(I20,'App Code Lookup'!$B$4:$V$15,14,FALSE),IF(AND(LEFT('Model Selection'!C20,6)="F-5500",'Model Selection'!D20&lt;&gt;"Insertion",RIGHT('Model Selection'!E20,5)="DBUS)",LEFT('Model Selection'!H20,4)="ANSI",E20="Natural Gas",I20&lt;&gt;"",OR(L20="",L20="SCFH &amp; SCF"),M20="BACnet",OR(N20="",N20="ONICON Select")),VLOOKUP(I20,'App Code Lookup'!$B$4:$V$15,15,FALSE),IF(AND(LEFT('Model Selection'!C20,6)="F-5500",'Model Selection'!D20="Insertion",RIGHT('Model Selection'!E20,5)="DBUS)",LEFT('Model Selection'!I20,13)="Insertion w/o",E20="Natural Gas",I20&lt;&gt;"",OR(L20="",L20="SCFH &amp; SCF"),M20="MODBUS",OR(N20="",N20="ONICON Select")),VLOOKUP(I20,'App Code Lookup'!$B$4:$V$15,12,FALSE),IF(AND(LEFT('Model Selection'!C20,6)="F-5500",'Model Selection'!D20="Insertion",RIGHT('Model Selection'!E20,5)="DBUS)",LEFT('Model Selection'!I20,13)="Insertion w/ ",E20="Natural Gas",I20&lt;&gt;"",OR(L20="",L20="SCFH &amp; SCF"),M20="MODBUS",OR(N20="",N20="ONICON Select")),VLOOKUP(I20,'App Code Lookup'!$B$4:$V$15,13,FALSE),IF(AND(LEFT('Model Selection'!C20,6)="F-5500",'Model Selection'!D20&lt;&gt;"Insertion",RIGHT('Model Selection'!E20,5)="DBUS)",LEFT('Model Selection'!H20,8)="Threaded",E20="Natural Gas",I20&lt;&gt;"",OR(L20="",L20="SCFH &amp; SCF"),M20="MODBUS",OR(N20="",N20="ONICON Select")),VLOOKUP(I20,'App Code Lookup'!$B$4:$V$15,10,FALSE),IF(AND(LEFT('Model Selection'!C20,6)="F-5500",'Model Selection'!D20&lt;&gt;"Insertion",RIGHT('Model Selection'!E20,5)="DBUS)",LEFT('Model Selection'!H20,4)="ANSI",E20="Natural Gas",I20&lt;&gt;"",OR(L20="",L20="SCFH &amp; SCF"),M20="MODBUS",OR(N20="",N20="ONICON Select")),VLOOKUP(I20,'App Code Lookup'!$B$4:$V$15,11,FALSE),IF(AND(LEFT('Model Selection'!C20,6)="F-5500",'Model Selection'!D20="Insertion",RIGHT('Model Selection'!E20,5)="Pulse",LEFT('Model Selection'!I20,13)="Insertion w/o",MID('Model Selection'!L20,8,1)="2",E20="Natural Gas",I20&lt;&gt;"",OR(L20="",L20="SCFH &amp; SCF"),OR(N20="",N20="ONICON Select"),OR(O20="",O20="ONICON Select")),VLOOKUP(I20,'App Code Lookup'!$B$4:$V$15,8,FALSE),IF(AND(LEFT('Model Selection'!C20,6)="F-5500",'Model Selection'!D20="Insertion",RIGHT('Model Selection'!E20,5)="Pulse",LEFT('Model Selection'!I20,13)="Insertion w/ ",MID('Model Selection'!L20,8,1)="2",E20="Natural Gas",I20&lt;&gt;"",OR(L20="",L20="SCFH &amp; SCF"),OR(N20="",N20="ONICON Select"),OR(O20="",O20="ONICON Select")),VLOOKUP(I20,'App Code Lookup'!$B$4:$V$15,9,FALSE),IF(AND(LEFT('Model Selection'!C20,6)="F-5500",'Model Selection'!D20&lt;&gt;"Insertion",RIGHT('Model Selection'!E20,5)="Pulse",LEFT('Model Selection'!H20,8)="Threaded",MID('Model Selection'!L20,8,1)="2",E20="Natural Gas",I20&lt;&gt;"",OR(L20="",L20="SCFH &amp; SCF"),OR(N20="",N20="ONICON Select"),OR(O20="",O20="ONICON Select")),VLOOKUP(I20,'App Code Lookup'!$B$4:$V$15,6,FALSE),IF(AND(LEFT('Model Selection'!C20,6)="F-5500",'Model Selection'!D20&lt;&gt;"Insertion",RIGHT('Model Selection'!E20,5)="Pulse",LEFT('Model Selection'!H20,4)="ANSI",MID('Model Selection'!L20,8,1)="2",E20="Natural Gas",I20&lt;&gt;"",OR(L20="",L20="SCFH &amp; SCF"),OR(N20="",N20="ONICON Select"),OR(O20="",O20="ONICON Select")),VLOOKUP(I20,'App Code Lookup'!$B$4:$V$15,7,FALSE),IF(AND(LEFT('Model Selection'!C20,6)="F-5500",'Model Selection'!D20="Insertion",RIGHT('Model Selection'!E20,5)="Pulse",LEFT('Model Selection'!I20,13)="Insertion w/o",MID('Model Selection'!L20,8,1)="4",E20="Natural Gas",I20&lt;&gt;"",OR(L20="",L20="SCFH &amp; SCF"),OR(N20="",N20="ONICON Select"),OR(O20="",O20="ONICON Select")),VLOOKUP(I20,'App Code Lookup'!$B$4:$V$15,20,FALSE),IF(AND(LEFT('Model Selection'!C20,6)="F-5500",'Model Selection'!D20="Insertion",RIGHT('Model Selection'!E20,5)="Pulse",LEFT('Model Selection'!I20,13)="Insertion w/ ",MID('Model Selection'!L20,8,1)="4",E20="Natural Gas",I20&lt;&gt;"",OR(L20="",L20="SCFH &amp; SCF"),OR(N20="",N20="ONICON Select"),OR(O20="",O20="ONICON Select")),VLOOKUP(I20,'App Code Lookup'!$B$4:$V$15,21,FALSE),IF(AND(LEFT('Model Selection'!C20,6)="F-5500",'Model Selection'!D20&lt;&gt;"Insertion",RIGHT('Model Selection'!E20,5)="Pulse",LEFT('Model Selection'!H20,8)="Threaded",MID('Model Selection'!L20,8,1)="4",E20="Natural Gas",I20&lt;&gt;"",OR(L20="",L20="SCFH &amp; SCF"),OR(N20="",N20="ONICON Select"),OR(O20="",O20="ONICON Select")),VLOOKUP(I20,'App Code Lookup'!$B$4:$V$15,18,FALSE),IF(AND(LEFT('Model Selection'!C20,6)="F-5500",'Model Selection'!D20&lt;&gt;"Insertion",RIGHT('Model Selection'!E20,5)="Pulse",LEFT('Model Selection'!H20,4)="ANSI",MID('Model Selection'!L20,8,1)="4",E20="Natural Gas",I20&lt;&gt;"",OR(L20="",L20="SCFH &amp; SCF"),OR(N20="",N20="ONICON Select"),OR(O20="",O20="ONICON Select")),VLOOKUP(I20,'App Code Lookup'!$B$4:$V$15,19,FALSE),"New App Code")))))))))))))))))))))</f>
        <v/>
      </c>
    </row>
    <row r="21" spans="2:16" ht="30" customHeight="1" thickBot="1" x14ac:dyDescent="0.3">
      <c r="B21" s="35">
        <v>10</v>
      </c>
      <c r="C21" s="16" t="str">
        <f>IF(OR('Model Selection'!L21="Form Not Complete",'Model Selection'!L21="Model Number Not Valid"),"",'Model Selection'!L21)</f>
        <v/>
      </c>
      <c r="D21" s="9"/>
      <c r="E21" s="121"/>
      <c r="F21" s="128"/>
      <c r="G21" s="125"/>
      <c r="H21" s="9"/>
      <c r="I21" s="98" t="str">
        <f>IF('Model Selection'!D21="Insertion","",IF('Model Selection'!D21="","",VLOOKUP('Model Selection'!D21,Reference!$C$2:$E$11,3,FALSE)))</f>
        <v/>
      </c>
      <c r="J21" s="9"/>
      <c r="K21" s="9"/>
      <c r="L21" s="9"/>
      <c r="M21" s="9"/>
      <c r="N21" s="9" t="str">
        <f>IF('Model Selection'!C21=Reference!$A$2,"ONICON Select","")</f>
        <v/>
      </c>
      <c r="O21" s="9" t="str">
        <f>IF(OR('Model Selection'!E21=Reference!$I$3,'Model Selection'!E21=Reference!$I$5),"N/A",IF('Model Selection'!C21=Reference!$A$2,"ONICON Select",""))</f>
        <v/>
      </c>
      <c r="P21" s="17" t="str">
        <f>IF('Model Selection'!L21="Form Not Complete","",IF(AND(LEFT('Model Selection'!C21,6)="F-5400",'Model Selection'!D21="Insertion",LEFT('Model Selection'!I21,13)="Insertion w/o",E21="Natural Gas",I21&lt;&gt;"",OR(L21="",L21="SCFH &amp; SCF"),OR(N21="",N21="ONICON Select")),VLOOKUP(I21,'App Code Lookup'!$B$19:$J$30,8,FALSE),IF(AND(LEFT('Model Selection'!C21,6)="F-5400",'Model Selection'!D21="Insertion",LEFT('Model Selection'!I21,13)="Insertion w/ ",E21="Natural Gas",I21&lt;&gt;"",OR(L21="",L21="SCFH &amp; SCF"),OR(N21="",N21="ONICON Select")),VLOOKUP(I21,'App Code Lookup'!$B$19:$J$30,9,FALSE),IF(AND(LEFT('Model Selection'!C21,6)="F-5400",'Model Selection'!D21&lt;&gt;"Insertion",LEFT('Model Selection'!H21,8)="Threaded",E21="Natural Gas",I21&lt;&gt;"",OR(L21="",L21="SCFH &amp; SCF"),OR(N21="",N21="ONICON Select")),VLOOKUP(I21,'App Code Lookup'!$B$19:$J$30,6,FALSE),IF(AND(LEFT('Model Selection'!C21,6)="F-5400",'Model Selection'!D21&lt;&gt;"Insertion",LEFT('Model Selection'!H21,4)="ANSI",E21="Natural Gas",I21&lt;&gt;"",OR(L21="",L21="SCFH &amp; SCF"),OR(N21="",N21="ONICON Select")),VLOOKUP(I21,'App Code Lookup'!$B$19:$J$30,7,FALSE),IF(AND(LEFT('Model Selection'!C21,6)="F-5500",'Model Selection'!D21="Insertion",RIGHT('Model Selection'!E21,5)="DBUS)",LEFT('Model Selection'!I21,13)="Insertion w/o",E21="Natural Gas",I21&lt;&gt;"",OR(L21="",L21="SCFH &amp; SCF"),M21="BACnet",OR(N21="",N21="ONICON Select")),VLOOKUP(I21,'App Code Lookup'!$B$4:$V$15,16,FALSE),IF(AND(LEFT('Model Selection'!C21,6)="F-5500",'Model Selection'!D21="Insertion",RIGHT('Model Selection'!E21,5)="DBUS)",LEFT('Model Selection'!I21,13)="Insertion w/ ",E21="Natural Gas",I21&lt;&gt;"",OR(L21="",L21="SCFH &amp; SCF"),M21="BACnet",OR(N21="",N21="ONICON Select")),VLOOKUP(I21,'App Code Lookup'!$B$4:$V$15,17,FALSE),IF(AND(LEFT('Model Selection'!C21,6)="F-5500",'Model Selection'!D21&lt;&gt;"Insertion",RIGHT('Model Selection'!E21,5)="DBUS)",LEFT('Model Selection'!H21,8)="Threaded",E21="Natural Gas",I21&lt;&gt;"",OR(L21="",L21="SCFH &amp; SCF"),M21="BACnet",OR(N21="",N21="ONICON Select")),VLOOKUP(I21,'App Code Lookup'!$B$4:$V$15,14,FALSE),IF(AND(LEFT('Model Selection'!C21,6)="F-5500",'Model Selection'!D21&lt;&gt;"Insertion",RIGHT('Model Selection'!E21,5)="DBUS)",LEFT('Model Selection'!H21,4)="ANSI",E21="Natural Gas",I21&lt;&gt;"",OR(L21="",L21="SCFH &amp; SCF"),M21="BACnet",OR(N21="",N21="ONICON Select")),VLOOKUP(I21,'App Code Lookup'!$B$4:$V$15,15,FALSE),IF(AND(LEFT('Model Selection'!C21,6)="F-5500",'Model Selection'!D21="Insertion",RIGHT('Model Selection'!E21,5)="DBUS)",LEFT('Model Selection'!I21,13)="Insertion w/o",E21="Natural Gas",I21&lt;&gt;"",OR(L21="",L21="SCFH &amp; SCF"),M21="MODBUS",OR(N21="",N21="ONICON Select")),VLOOKUP(I21,'App Code Lookup'!$B$4:$V$15,12,FALSE),IF(AND(LEFT('Model Selection'!C21,6)="F-5500",'Model Selection'!D21="Insertion",RIGHT('Model Selection'!E21,5)="DBUS)",LEFT('Model Selection'!I21,13)="Insertion w/ ",E21="Natural Gas",I21&lt;&gt;"",OR(L21="",L21="SCFH &amp; SCF"),M21="MODBUS",OR(N21="",N21="ONICON Select")),VLOOKUP(I21,'App Code Lookup'!$B$4:$V$15,13,FALSE),IF(AND(LEFT('Model Selection'!C21,6)="F-5500",'Model Selection'!D21&lt;&gt;"Insertion",RIGHT('Model Selection'!E21,5)="DBUS)",LEFT('Model Selection'!H21,8)="Threaded",E21="Natural Gas",I21&lt;&gt;"",OR(L21="",L21="SCFH &amp; SCF"),M21="MODBUS",OR(N21="",N21="ONICON Select")),VLOOKUP(I21,'App Code Lookup'!$B$4:$V$15,10,FALSE),IF(AND(LEFT('Model Selection'!C21,6)="F-5500",'Model Selection'!D21&lt;&gt;"Insertion",RIGHT('Model Selection'!E21,5)="DBUS)",LEFT('Model Selection'!H21,4)="ANSI",E21="Natural Gas",I21&lt;&gt;"",OR(L21="",L21="SCFH &amp; SCF"),M21="MODBUS",OR(N21="",N21="ONICON Select")),VLOOKUP(I21,'App Code Lookup'!$B$4:$V$15,11,FALSE),IF(AND(LEFT('Model Selection'!C21,6)="F-5500",'Model Selection'!D21="Insertion",RIGHT('Model Selection'!E21,5)="Pulse",LEFT('Model Selection'!I21,13)="Insertion w/o",MID('Model Selection'!L21,8,1)="2",E21="Natural Gas",I21&lt;&gt;"",OR(L21="",L21="SCFH &amp; SCF"),OR(N21="",N21="ONICON Select"),OR(O21="",O21="ONICON Select")),VLOOKUP(I21,'App Code Lookup'!$B$4:$V$15,8,FALSE),IF(AND(LEFT('Model Selection'!C21,6)="F-5500",'Model Selection'!D21="Insertion",RIGHT('Model Selection'!E21,5)="Pulse",LEFT('Model Selection'!I21,13)="Insertion w/ ",MID('Model Selection'!L21,8,1)="2",E21="Natural Gas",I21&lt;&gt;"",OR(L21="",L21="SCFH &amp; SCF"),OR(N21="",N21="ONICON Select"),OR(O21="",O21="ONICON Select")),VLOOKUP(I21,'App Code Lookup'!$B$4:$V$15,9,FALSE),IF(AND(LEFT('Model Selection'!C21,6)="F-5500",'Model Selection'!D21&lt;&gt;"Insertion",RIGHT('Model Selection'!E21,5)="Pulse",LEFT('Model Selection'!H21,8)="Threaded",MID('Model Selection'!L21,8,1)="2",E21="Natural Gas",I21&lt;&gt;"",OR(L21="",L21="SCFH &amp; SCF"),OR(N21="",N21="ONICON Select"),OR(O21="",O21="ONICON Select")),VLOOKUP(I21,'App Code Lookup'!$B$4:$V$15,6,FALSE),IF(AND(LEFT('Model Selection'!C21,6)="F-5500",'Model Selection'!D21&lt;&gt;"Insertion",RIGHT('Model Selection'!E21,5)="Pulse",LEFT('Model Selection'!H21,4)="ANSI",MID('Model Selection'!L21,8,1)="2",E21="Natural Gas",I21&lt;&gt;"",OR(L21="",L21="SCFH &amp; SCF"),OR(N21="",N21="ONICON Select"),OR(O21="",O21="ONICON Select")),VLOOKUP(I21,'App Code Lookup'!$B$4:$V$15,7,FALSE),IF(AND(LEFT('Model Selection'!C21,6)="F-5500",'Model Selection'!D21="Insertion",RIGHT('Model Selection'!E21,5)="Pulse",LEFT('Model Selection'!I21,13)="Insertion w/o",MID('Model Selection'!L21,8,1)="4",E21="Natural Gas",I21&lt;&gt;"",OR(L21="",L21="SCFH &amp; SCF"),OR(N21="",N21="ONICON Select"),OR(O21="",O21="ONICON Select")),VLOOKUP(I21,'App Code Lookup'!$B$4:$V$15,20,FALSE),IF(AND(LEFT('Model Selection'!C21,6)="F-5500",'Model Selection'!D21="Insertion",RIGHT('Model Selection'!E21,5)="Pulse",LEFT('Model Selection'!I21,13)="Insertion w/ ",MID('Model Selection'!L21,8,1)="4",E21="Natural Gas",I21&lt;&gt;"",OR(L21="",L21="SCFH &amp; SCF"),OR(N21="",N21="ONICON Select"),OR(O21="",O21="ONICON Select")),VLOOKUP(I21,'App Code Lookup'!$B$4:$V$15,21,FALSE),IF(AND(LEFT('Model Selection'!C21,6)="F-5500",'Model Selection'!D21&lt;&gt;"Insertion",RIGHT('Model Selection'!E21,5)="Pulse",LEFT('Model Selection'!H21,8)="Threaded",MID('Model Selection'!L21,8,1)="4",E21="Natural Gas",I21&lt;&gt;"",OR(L21="",L21="SCFH &amp; SCF"),OR(N21="",N21="ONICON Select"),OR(O21="",O21="ONICON Select")),VLOOKUP(I21,'App Code Lookup'!$B$4:$V$15,18,FALSE),IF(AND(LEFT('Model Selection'!C21,6)="F-5500",'Model Selection'!D21&lt;&gt;"Insertion",RIGHT('Model Selection'!E21,5)="Pulse",LEFT('Model Selection'!H21,4)="ANSI",MID('Model Selection'!L21,8,1)="4",E21="Natural Gas",I21&lt;&gt;"",OR(L21="",L21="SCFH &amp; SCF"),OR(N21="",N21="ONICON Select"),OR(O21="",O21="ONICON Select")),VLOOKUP(I21,'App Code Lookup'!$B$4:$V$15,19,FALSE),"New App Code")))))))))))))))))))))</f>
        <v/>
      </c>
    </row>
    <row r="22" spans="2:16" x14ac:dyDescent="0.25">
      <c r="B22" s="160" t="s">
        <v>484</v>
      </c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2"/>
    </row>
    <row r="23" spans="2:16" x14ac:dyDescent="0.25">
      <c r="B23" s="160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2"/>
    </row>
    <row r="24" spans="2:16" x14ac:dyDescent="0.25">
      <c r="B24" s="160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2"/>
    </row>
    <row r="25" spans="2:16" x14ac:dyDescent="0.25">
      <c r="B25" s="160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2"/>
    </row>
    <row r="26" spans="2:16" x14ac:dyDescent="0.25">
      <c r="B26" s="160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2"/>
    </row>
    <row r="27" spans="2:16" x14ac:dyDescent="0.25">
      <c r="B27" s="160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2"/>
    </row>
    <row r="28" spans="2:16" x14ac:dyDescent="0.25">
      <c r="B28" s="160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2"/>
    </row>
    <row r="29" spans="2:16" x14ac:dyDescent="0.25">
      <c r="B29" s="160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2"/>
    </row>
    <row r="30" spans="2:16" x14ac:dyDescent="0.25">
      <c r="B30" s="160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2"/>
    </row>
    <row r="31" spans="2:16" x14ac:dyDescent="0.25">
      <c r="B31" s="143" t="s">
        <v>86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5"/>
    </row>
    <row r="32" spans="2:16" x14ac:dyDescent="0.25">
      <c r="B32" s="143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/>
    </row>
    <row r="33" spans="1:16" x14ac:dyDescent="0.25">
      <c r="A33" s="50"/>
      <c r="B33" s="148" t="s">
        <v>87</v>
      </c>
      <c r="C33" s="149"/>
      <c r="D33" s="149"/>
      <c r="E33" s="149"/>
      <c r="F33" s="149"/>
      <c r="G33" s="149"/>
      <c r="H33" s="152" t="s">
        <v>88</v>
      </c>
      <c r="I33" s="152"/>
      <c r="J33" s="152"/>
      <c r="K33" s="152"/>
      <c r="L33" s="152"/>
      <c r="M33" s="152"/>
      <c r="N33" s="152"/>
      <c r="O33" s="152"/>
      <c r="P33" s="169"/>
    </row>
    <row r="34" spans="1:16" ht="15.75" thickBot="1" x14ac:dyDescent="0.3">
      <c r="A34" s="50"/>
      <c r="B34" s="150"/>
      <c r="C34" s="151"/>
      <c r="D34" s="151"/>
      <c r="E34" s="151"/>
      <c r="F34" s="151"/>
      <c r="G34" s="151"/>
      <c r="H34" s="170"/>
      <c r="I34" s="170"/>
      <c r="J34" s="170"/>
      <c r="K34" s="170"/>
      <c r="L34" s="170"/>
      <c r="M34" s="170"/>
      <c r="N34" s="170"/>
      <c r="O34" s="170"/>
      <c r="P34" s="171"/>
    </row>
  </sheetData>
  <sheetProtection algorithmName="SHA-512" hashValue="LpvWb6aQmIlf0Q3bCgCkTMb6qHfkASQD71T76K1VgCcGiYb2RJLc7wuI7ribG+vjoSr8sPOyM2l72xy3w7E39g==" saltValue="DvYp/9gJO8YBiCwdYraukw==" spinCount="100000" sheet="1" objects="1" scenarios="1" formatCells="0" formatColumns="0" formatRows="0"/>
  <mergeCells count="20">
    <mergeCell ref="B8:C8"/>
    <mergeCell ref="D8:E8"/>
    <mergeCell ref="B22:P30"/>
    <mergeCell ref="B31:P32"/>
    <mergeCell ref="B33:G34"/>
    <mergeCell ref="H33:P34"/>
    <mergeCell ref="G8:H8"/>
    <mergeCell ref="G9:H9"/>
    <mergeCell ref="B6:C6"/>
    <mergeCell ref="D6:E6"/>
    <mergeCell ref="B7:C7"/>
    <mergeCell ref="D7:E7"/>
    <mergeCell ref="G6:H6"/>
    <mergeCell ref="G7:H7"/>
    <mergeCell ref="B4:C4"/>
    <mergeCell ref="D4:E4"/>
    <mergeCell ref="B5:C5"/>
    <mergeCell ref="D5:E5"/>
    <mergeCell ref="G4:H4"/>
    <mergeCell ref="G5:H5"/>
  </mergeCells>
  <conditionalFormatting sqref="G9:H9">
    <cfRule type="expression" dxfId="1" priority="1">
      <formula>$G$8="Yes"</formula>
    </cfRule>
  </conditionalFormatting>
  <hyperlinks>
    <hyperlink ref="H33" r:id="rId1" xr:uid="{00000000-0004-0000-0100-000000000000}"/>
  </hyperlinks>
  <pageMargins left="0.25" right="0.25" top="0.75" bottom="0.75" header="0.3" footer="0.3"/>
  <pageSetup scale="49" orientation="landscape" r:id="rId2"/>
  <headerFooter>
    <oddFooter>&amp;RRev 6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100-000000000000}">
          <x14:formula1>
            <xm:f>Reference!$X$2:$X$12</xm:f>
          </x14:formula1>
          <xm:sqref>E12:E21</xm:sqref>
        </x14:dataValidation>
        <x14:dataValidation type="list" allowBlank="1" showInputMessage="1" showErrorMessage="1" xr:uid="{00000000-0002-0000-0100-000001000000}">
          <x14:formula1>
            <xm:f>Reference!$Z$2:$Z$5</xm:f>
          </x14:formula1>
          <xm:sqref>L12:L21</xm:sqref>
        </x14:dataValidation>
        <x14:dataValidation type="list" allowBlank="1" showInputMessage="1" showErrorMessage="1" xr:uid="{00000000-0002-0000-0100-000002000000}">
          <x14:formula1>
            <xm:f>IF('Model Selection'!$E$21=Reference!$I$3,Reference!$AA$3:$AA$4,Reference!$AA$2)</xm:f>
          </x14:formula1>
          <xm:sqref>M21</xm:sqref>
        </x14:dataValidation>
        <x14:dataValidation type="list" allowBlank="1" showInputMessage="1" showErrorMessage="1" xr:uid="{00000000-0002-0000-0100-000003000000}">
          <x14:formula1>
            <xm:f>IF('Model Selection'!$E$12=Reference!$I$3,Reference!$AA$3:$AA$4,Reference!$AA$2)</xm:f>
          </x14:formula1>
          <xm:sqref>M12</xm:sqref>
        </x14:dataValidation>
        <x14:dataValidation type="list" allowBlank="1" showInputMessage="1" showErrorMessage="1" xr:uid="{00000000-0002-0000-0100-000004000000}">
          <x14:formula1>
            <xm:f>IF('Model Selection'!$E$13=Reference!$I$3,Reference!$AA$3:$AA$4,Reference!$AA$2)</xm:f>
          </x14:formula1>
          <xm:sqref>M13</xm:sqref>
        </x14:dataValidation>
        <x14:dataValidation type="list" allowBlank="1" showInputMessage="1" showErrorMessage="1" xr:uid="{00000000-0002-0000-0100-000005000000}">
          <x14:formula1>
            <xm:f>IF('Model Selection'!$E$14=Reference!$I$3,Reference!$AA$3:$AA$4,Reference!$AA$2)</xm:f>
          </x14:formula1>
          <xm:sqref>M14</xm:sqref>
        </x14:dataValidation>
        <x14:dataValidation type="list" allowBlank="1" showInputMessage="1" showErrorMessage="1" xr:uid="{00000000-0002-0000-0100-000006000000}">
          <x14:formula1>
            <xm:f>IF('Model Selection'!$E$15=Reference!$I$3,Reference!$AA$3:$AA$4,Reference!$AA$2)</xm:f>
          </x14:formula1>
          <xm:sqref>M15</xm:sqref>
        </x14:dataValidation>
        <x14:dataValidation type="list" allowBlank="1" showInputMessage="1" showErrorMessage="1" xr:uid="{00000000-0002-0000-0100-000007000000}">
          <x14:formula1>
            <xm:f>IF('Model Selection'!$E$16=Reference!$I$3,Reference!$AA$3:$AA$4,Reference!$AA$2)</xm:f>
          </x14:formula1>
          <xm:sqref>M16</xm:sqref>
        </x14:dataValidation>
        <x14:dataValidation type="list" allowBlank="1" showInputMessage="1" showErrorMessage="1" xr:uid="{00000000-0002-0000-0100-000008000000}">
          <x14:formula1>
            <xm:f>IF('Model Selection'!$E$17=Reference!$I$3,Reference!$AA$3:$AA$4,Reference!$AA$2)</xm:f>
          </x14:formula1>
          <xm:sqref>M17</xm:sqref>
        </x14:dataValidation>
        <x14:dataValidation type="list" allowBlank="1" showInputMessage="1" showErrorMessage="1" xr:uid="{00000000-0002-0000-0100-000009000000}">
          <x14:formula1>
            <xm:f>IF('Model Selection'!$E$18=Reference!$I$3,Reference!$AA$3:$AA$4,Reference!$AA$2)</xm:f>
          </x14:formula1>
          <xm:sqref>M18</xm:sqref>
        </x14:dataValidation>
        <x14:dataValidation type="list" allowBlank="1" showInputMessage="1" showErrorMessage="1" xr:uid="{00000000-0002-0000-0100-00000A000000}">
          <x14:formula1>
            <xm:f>IF('Model Selection'!$E$19=Reference!$I$3,Reference!$AA$3:$AA$4,Reference!$AA$2)</xm:f>
          </x14:formula1>
          <xm:sqref>M19</xm:sqref>
        </x14:dataValidation>
        <x14:dataValidation type="list" allowBlank="1" showInputMessage="1" showErrorMessage="1" xr:uid="{00000000-0002-0000-0100-00000B000000}">
          <x14:formula1>
            <xm:f>IF('Model Selection'!$E$20=Reference!$I$3,Reference!$AA$3:$AA$4,Reference!$AA$2)</xm:f>
          </x14:formula1>
          <xm:sqref>M20</xm:sqref>
        </x14:dataValidation>
        <x14:dataValidation type="list" allowBlank="1" showInputMessage="1" showErrorMessage="1" xr:uid="{00000000-0002-0000-0100-00000C000000}">
          <x14:formula1>
            <xm:f>Reference!$AD$2:$AD$5</xm:f>
          </x14:formula1>
          <xm:sqref>F12:F21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P31"/>
  <sheetViews>
    <sheetView showGridLines="0" zoomScaleNormal="100" workbookViewId="0">
      <selection activeCell="D6" sqref="D6:E6"/>
    </sheetView>
  </sheetViews>
  <sheetFormatPr defaultColWidth="9.140625" defaultRowHeight="15" x14ac:dyDescent="0.25"/>
  <cols>
    <col min="1" max="1" width="2.7109375" style="38" customWidth="1"/>
    <col min="2" max="2" width="9.140625" style="38"/>
    <col min="3" max="3" width="13" style="38" customWidth="1"/>
    <col min="4" max="4" width="11" style="38" customWidth="1"/>
    <col min="5" max="5" width="22.28515625" style="38" customWidth="1"/>
    <col min="6" max="6" width="22.5703125" style="38" customWidth="1"/>
    <col min="7" max="7" width="25.42578125" style="38" customWidth="1"/>
    <col min="8" max="8" width="15.42578125" style="38" customWidth="1"/>
    <col min="9" max="16384" width="9.140625" style="38"/>
  </cols>
  <sheetData>
    <row r="1" spans="2:9" ht="15.75" thickBot="1" x14ac:dyDescent="0.3">
      <c r="H1" s="51"/>
    </row>
    <row r="2" spans="2:9" ht="21" x14ac:dyDescent="0.35">
      <c r="B2" s="36" t="s">
        <v>0</v>
      </c>
      <c r="C2" s="37"/>
      <c r="D2" s="37"/>
      <c r="E2" s="37"/>
      <c r="F2" s="37"/>
      <c r="G2" s="37"/>
      <c r="H2" s="39"/>
    </row>
    <row r="3" spans="2:9" ht="21" x14ac:dyDescent="0.35">
      <c r="B3" s="52"/>
      <c r="C3" s="41"/>
      <c r="D3" s="41"/>
      <c r="E3" s="41"/>
      <c r="F3" s="41"/>
      <c r="G3" s="41"/>
      <c r="H3" s="43"/>
    </row>
    <row r="4" spans="2:9" ht="21" x14ac:dyDescent="0.35">
      <c r="B4" s="52"/>
      <c r="C4" s="41"/>
      <c r="D4" s="41"/>
      <c r="E4" s="41"/>
      <c r="F4" s="41"/>
      <c r="G4" s="41"/>
      <c r="H4" s="43"/>
    </row>
    <row r="5" spans="2:9" x14ac:dyDescent="0.25">
      <c r="B5" s="40"/>
      <c r="C5" s="41"/>
      <c r="D5" s="41"/>
      <c r="E5" s="41"/>
      <c r="F5" s="41"/>
      <c r="G5" s="41"/>
      <c r="H5" s="43"/>
    </row>
    <row r="6" spans="2:9" x14ac:dyDescent="0.25">
      <c r="B6" s="141" t="s">
        <v>1</v>
      </c>
      <c r="C6" s="142"/>
      <c r="D6" s="173" t="str">
        <f>IF('Model Selection'!D4:E4="","",'Model Selection'!D4:E4)</f>
        <v/>
      </c>
      <c r="E6" s="174"/>
      <c r="F6" s="44" t="s">
        <v>5</v>
      </c>
      <c r="G6" s="53" t="str">
        <f>IF('Model Selection'!H4="","",'Model Selection'!H4)</f>
        <v/>
      </c>
      <c r="H6" s="43"/>
    </row>
    <row r="7" spans="2:9" x14ac:dyDescent="0.25">
      <c r="B7" s="141" t="s">
        <v>2</v>
      </c>
      <c r="C7" s="142"/>
      <c r="D7" s="173" t="str">
        <f>IF('Model Selection'!D5:E5="","",'Model Selection'!D5:E5)</f>
        <v/>
      </c>
      <c r="E7" s="174"/>
      <c r="F7" s="44" t="s">
        <v>6</v>
      </c>
      <c r="G7" s="54" t="str">
        <f>IF('Model Selection'!H5="","",'Model Selection'!H5)</f>
        <v/>
      </c>
      <c r="H7" s="43"/>
    </row>
    <row r="8" spans="2:9" x14ac:dyDescent="0.25">
      <c r="B8" s="141" t="s">
        <v>3</v>
      </c>
      <c r="C8" s="142"/>
      <c r="D8" s="173" t="str">
        <f>IF('Model Selection'!D6:E6="","",'Model Selection'!D6:E6)</f>
        <v/>
      </c>
      <c r="E8" s="174"/>
      <c r="F8" s="44" t="s">
        <v>7</v>
      </c>
      <c r="G8" s="53" t="str">
        <f>IF('Model Selection'!H6="","",'Model Selection'!H6)</f>
        <v/>
      </c>
      <c r="H8" s="43"/>
    </row>
    <row r="9" spans="2:9" x14ac:dyDescent="0.25">
      <c r="B9" s="141" t="s">
        <v>4</v>
      </c>
      <c r="C9" s="142"/>
      <c r="D9" s="173" t="str">
        <f>IF('Model Selection'!D7:E7="","",'Model Selection'!D7:E7)</f>
        <v/>
      </c>
      <c r="E9" s="174"/>
      <c r="F9" s="44" t="s">
        <v>8</v>
      </c>
      <c r="G9" s="54" t="str">
        <f>IF('Model Selection'!H7="","",'Model Selection'!H7)</f>
        <v/>
      </c>
      <c r="H9" s="43"/>
    </row>
    <row r="10" spans="2:9" x14ac:dyDescent="0.25">
      <c r="B10" s="141" t="s">
        <v>10</v>
      </c>
      <c r="C10" s="142"/>
      <c r="D10" s="173" t="str">
        <f>IF('Model Selection'!D8:E8="","",'Model Selection'!D8:E8)</f>
        <v/>
      </c>
      <c r="E10" s="174"/>
      <c r="F10" s="130" t="str">
        <f>'Model Selection'!G8</f>
        <v>Ship Kits In Advance?</v>
      </c>
      <c r="G10" s="83" t="str">
        <f>IF('Model Selection'!H8="","",'Model Selection'!H8)</f>
        <v/>
      </c>
      <c r="H10" s="43"/>
    </row>
    <row r="11" spans="2:9" x14ac:dyDescent="0.25">
      <c r="B11" s="129"/>
      <c r="C11" s="130"/>
      <c r="D11" s="81"/>
      <c r="E11" s="81"/>
      <c r="F11" s="135" t="str">
        <f>'Model Selection'!G9</f>
        <v/>
      </c>
      <c r="G11" s="80" t="str">
        <f>IF(OR('Model Selection'!H8="",'Model Selection'!H8="No"),"",'Model Selection'!H9)</f>
        <v/>
      </c>
      <c r="H11" s="43"/>
    </row>
    <row r="12" spans="2:9" ht="15.75" thickBot="1" x14ac:dyDescent="0.3">
      <c r="B12" s="47"/>
      <c r="C12" s="48"/>
      <c r="D12" s="48"/>
      <c r="E12" s="48"/>
      <c r="F12" s="48"/>
      <c r="G12" s="48"/>
      <c r="H12" s="49"/>
    </row>
    <row r="13" spans="2:9" ht="45" customHeight="1" thickBot="1" x14ac:dyDescent="0.3">
      <c r="B13" s="31" t="s">
        <v>9</v>
      </c>
      <c r="C13" s="177" t="s">
        <v>117</v>
      </c>
      <c r="D13" s="178"/>
      <c r="E13" s="134" t="s">
        <v>483</v>
      </c>
      <c r="F13" s="134" t="s">
        <v>133</v>
      </c>
      <c r="G13" s="134" t="s">
        <v>134</v>
      </c>
      <c r="H13" s="31" t="s">
        <v>540</v>
      </c>
      <c r="I13" s="55"/>
    </row>
    <row r="14" spans="2:9" ht="30" customHeight="1" x14ac:dyDescent="0.25">
      <c r="B14" s="56">
        <v>1</v>
      </c>
      <c r="C14" s="181" t="str">
        <f>IF(OR('Model Selection'!L12="Form Not Complete",'Model Selection'!L12="Model Number Not Valid"),"",'Model Selection'!L12)</f>
        <v/>
      </c>
      <c r="D14" s="182"/>
      <c r="E14" s="117"/>
      <c r="F14" s="133" t="str">
        <f>IF(OR('Model Selection'!L12="Form Not Complete",'Model Selection'!L12="Model Number Not Valid"),"",'Model Selection'!N12)</f>
        <v/>
      </c>
      <c r="G14" s="68" t="str">
        <f>IF('Application Data'!P12="","",'Application Data'!P12)</f>
        <v/>
      </c>
      <c r="H14" s="76" t="str">
        <f>IF('Model Selection'!M12="","",IF(RIGHT('Model Selection'!D12,1)="e","No",'Model Selection'!M12))</f>
        <v/>
      </c>
      <c r="I14" s="57"/>
    </row>
    <row r="15" spans="2:9" ht="30" customHeight="1" x14ac:dyDescent="0.25">
      <c r="B15" s="58">
        <v>2</v>
      </c>
      <c r="C15" s="179" t="str">
        <f>IF(OR('Model Selection'!L13="Form Not Complete",'Model Selection'!L13="Model Number Not Valid"),"",'Model Selection'!L13)</f>
        <v/>
      </c>
      <c r="D15" s="180"/>
      <c r="E15" s="100"/>
      <c r="F15" s="131" t="str">
        <f>IF(OR('Model Selection'!L13="Form Not Complete",'Model Selection'!L13="Model Number Not Valid"),"",'Model Selection'!N13)</f>
        <v/>
      </c>
      <c r="G15" s="69" t="str">
        <f>IF('Application Data'!P13="","",'Application Data'!P13)</f>
        <v/>
      </c>
      <c r="H15" s="73" t="str">
        <f>IF('Model Selection'!M13="","",IF(RIGHT('Model Selection'!D13,1)="e","No",'Model Selection'!M13))</f>
        <v/>
      </c>
    </row>
    <row r="16" spans="2:9" ht="30" customHeight="1" x14ac:dyDescent="0.25">
      <c r="B16" s="59">
        <v>3</v>
      </c>
      <c r="C16" s="175" t="str">
        <f>IF(OR('Model Selection'!L14="Form Not Complete",'Model Selection'!L14="Model Number Not Valid"),"",'Model Selection'!L14)</f>
        <v/>
      </c>
      <c r="D16" s="176"/>
      <c r="E16" s="101" t="str">
        <f>IF('Application Data'!D14="","",'Application Data'!D14)</f>
        <v/>
      </c>
      <c r="F16" s="132" t="str">
        <f>IF(OR('Model Selection'!L14="Form Not Complete",'Model Selection'!L14="Model Number Not Valid"),"",'Model Selection'!N14)</f>
        <v/>
      </c>
      <c r="G16" s="70" t="str">
        <f>IF('Application Data'!P14="","",'Application Data'!P14)</f>
        <v/>
      </c>
      <c r="H16" s="74" t="str">
        <f>IF('Model Selection'!M14="","",IF(RIGHT('Model Selection'!D14,1)="e","No",'Model Selection'!M14))</f>
        <v/>
      </c>
    </row>
    <row r="17" spans="2:16" ht="30" customHeight="1" x14ac:dyDescent="0.25">
      <c r="B17" s="58">
        <v>4</v>
      </c>
      <c r="C17" s="179" t="str">
        <f>IF(OR('Model Selection'!L15="Form Not Complete",'Model Selection'!L15="Model Number Not Valid"),"",'Model Selection'!L15)</f>
        <v/>
      </c>
      <c r="D17" s="180"/>
      <c r="E17" s="100" t="str">
        <f>IF('Application Data'!D15="","",'Application Data'!D15)</f>
        <v/>
      </c>
      <c r="F17" s="131" t="str">
        <f>IF(OR('Model Selection'!L15="Form Not Complete",'Model Selection'!L15="Model Number Not Valid"),"",'Model Selection'!N15)</f>
        <v/>
      </c>
      <c r="G17" s="69" t="str">
        <f>IF('Application Data'!P15="","",'Application Data'!P15)</f>
        <v/>
      </c>
      <c r="H17" s="73" t="str">
        <f>IF('Model Selection'!M15="","",IF(RIGHT('Model Selection'!D15,1)="e","No",'Model Selection'!M15))</f>
        <v/>
      </c>
    </row>
    <row r="18" spans="2:16" ht="30" customHeight="1" x14ac:dyDescent="0.25">
      <c r="B18" s="59">
        <v>5</v>
      </c>
      <c r="C18" s="175" t="str">
        <f>IF(OR('Model Selection'!L16="Form Not Complete",'Model Selection'!L16="Model Number Not Valid"),"",'Model Selection'!L16)</f>
        <v/>
      </c>
      <c r="D18" s="176"/>
      <c r="E18" s="101" t="str">
        <f>IF('Application Data'!D16="","",'Application Data'!D16)</f>
        <v/>
      </c>
      <c r="F18" s="132" t="str">
        <f>IF(OR('Model Selection'!L16="Form Not Complete",'Model Selection'!L16="Model Number Not Valid"),"",'Model Selection'!N16)</f>
        <v/>
      </c>
      <c r="G18" s="70" t="str">
        <f>IF('Application Data'!P16="","",'Application Data'!P16)</f>
        <v/>
      </c>
      <c r="H18" s="74" t="str">
        <f>IF('Model Selection'!M16="","",IF(RIGHT('Model Selection'!D16,1)="e","No",'Model Selection'!M16))</f>
        <v/>
      </c>
    </row>
    <row r="19" spans="2:16" ht="30" customHeight="1" x14ac:dyDescent="0.25">
      <c r="B19" s="58">
        <v>6</v>
      </c>
      <c r="C19" s="179" t="str">
        <f>IF(OR('Model Selection'!L17="Form Not Complete",'Model Selection'!L17="Model Number Not Valid"),"",'Model Selection'!L17)</f>
        <v/>
      </c>
      <c r="D19" s="180"/>
      <c r="E19" s="100" t="str">
        <f>IF('Application Data'!D17="","",'Application Data'!D17)</f>
        <v/>
      </c>
      <c r="F19" s="131" t="str">
        <f>IF(OR('Model Selection'!L17="Form Not Complete",'Model Selection'!L17="Model Number Not Valid"),"",'Model Selection'!N17)</f>
        <v/>
      </c>
      <c r="G19" s="69" t="str">
        <f>IF('Application Data'!P17="","",'Application Data'!P17)</f>
        <v/>
      </c>
      <c r="H19" s="73" t="str">
        <f>IF('Model Selection'!M17="","",IF(RIGHT('Model Selection'!D17,1)="e","No",'Model Selection'!M17))</f>
        <v/>
      </c>
    </row>
    <row r="20" spans="2:16" ht="30" customHeight="1" x14ac:dyDescent="0.25">
      <c r="B20" s="59">
        <v>7</v>
      </c>
      <c r="C20" s="175" t="str">
        <f>IF(OR('Model Selection'!L18="Form Not Complete",'Model Selection'!L18="Model Number Not Valid"),"",'Model Selection'!L18)</f>
        <v/>
      </c>
      <c r="D20" s="176"/>
      <c r="E20" s="101" t="str">
        <f>IF('Application Data'!D18="","",'Application Data'!D18)</f>
        <v/>
      </c>
      <c r="F20" s="132" t="str">
        <f>IF(OR('Model Selection'!L18="Form Not Complete",'Model Selection'!L18="Model Number Not Valid"),"",'Model Selection'!N18)</f>
        <v/>
      </c>
      <c r="G20" s="70" t="str">
        <f>IF('Application Data'!P18="","",'Application Data'!P18)</f>
        <v/>
      </c>
      <c r="H20" s="74" t="str">
        <f>IF('Model Selection'!M18="","",IF(RIGHT('Model Selection'!D18,1)="e","No",'Model Selection'!M18))</f>
        <v/>
      </c>
    </row>
    <row r="21" spans="2:16" ht="30" customHeight="1" x14ac:dyDescent="0.25">
      <c r="B21" s="58">
        <v>8</v>
      </c>
      <c r="C21" s="179" t="str">
        <f>IF(OR('Model Selection'!L19="Form Not Complete",'Model Selection'!L19="Model Number Not Valid"),"",'Model Selection'!L19)</f>
        <v/>
      </c>
      <c r="D21" s="180"/>
      <c r="E21" s="100" t="str">
        <f>IF('Application Data'!D19="","",'Application Data'!D19)</f>
        <v/>
      </c>
      <c r="F21" s="131" t="str">
        <f>IF(OR('Model Selection'!L19="Form Not Complete",'Model Selection'!L19="Model Number Not Valid"),"",'Model Selection'!N19)</f>
        <v/>
      </c>
      <c r="G21" s="69" t="str">
        <f>IF('Application Data'!P19="","",'Application Data'!P19)</f>
        <v/>
      </c>
      <c r="H21" s="73" t="str">
        <f>IF('Model Selection'!M19="","",IF(RIGHT('Model Selection'!D19,1)="e","No",'Model Selection'!M19))</f>
        <v/>
      </c>
    </row>
    <row r="22" spans="2:16" ht="30" customHeight="1" x14ac:dyDescent="0.25">
      <c r="B22" s="59">
        <v>9</v>
      </c>
      <c r="C22" s="175" t="str">
        <f>IF(OR('Model Selection'!L20="Form Not Complete",'Model Selection'!L20="Model Number Not Valid"),"",'Model Selection'!L20)</f>
        <v/>
      </c>
      <c r="D22" s="176"/>
      <c r="E22" s="101" t="str">
        <f>IF('Application Data'!D20="","",'Application Data'!D20)</f>
        <v/>
      </c>
      <c r="F22" s="132" t="str">
        <f>IF(OR('Model Selection'!L20="Form Not Complete",'Model Selection'!L20="Model Number Not Valid"),"",'Model Selection'!N20)</f>
        <v/>
      </c>
      <c r="G22" s="70" t="str">
        <f>IF('Application Data'!P20="","",'Application Data'!P20)</f>
        <v/>
      </c>
      <c r="H22" s="74" t="str">
        <f>IF('Model Selection'!M20="","",IF(RIGHT('Model Selection'!D20,1)="e","No",'Model Selection'!M20))</f>
        <v/>
      </c>
    </row>
    <row r="23" spans="2:16" ht="30" customHeight="1" thickBot="1" x14ac:dyDescent="0.3">
      <c r="B23" s="58">
        <v>10</v>
      </c>
      <c r="C23" s="179" t="str">
        <f>IF(OR('Model Selection'!L21="Form Not Complete",'Model Selection'!L21="Model Number Not Valid"),"",'Model Selection'!L21)</f>
        <v/>
      </c>
      <c r="D23" s="180"/>
      <c r="E23" s="100" t="str">
        <f>IF('Application Data'!D21="","",'Application Data'!D21)</f>
        <v/>
      </c>
      <c r="F23" s="131" t="str">
        <f>IF(OR('Model Selection'!L21="Form Not Complete",'Model Selection'!L21="Model Number Not Valid"),"",'Model Selection'!N21)</f>
        <v/>
      </c>
      <c r="G23" s="93" t="str">
        <f>IF('Application Data'!P21="","",'Application Data'!P21)</f>
        <v/>
      </c>
      <c r="H23" s="73" t="str">
        <f>IF('Model Selection'!M21="","",IF(RIGHT('Model Selection'!D21,1)="e","No",'Model Selection'!M21))</f>
        <v/>
      </c>
      <c r="I23" s="60"/>
      <c r="J23" s="60"/>
      <c r="K23" s="60"/>
      <c r="L23" s="60"/>
      <c r="M23" s="60"/>
      <c r="N23" s="60"/>
      <c r="O23" s="60"/>
      <c r="P23" s="60"/>
    </row>
    <row r="24" spans="2:16" ht="30" customHeight="1" x14ac:dyDescent="0.25">
      <c r="B24" s="191"/>
      <c r="C24" s="192"/>
      <c r="D24" s="192"/>
      <c r="E24" s="192"/>
      <c r="F24" s="192"/>
      <c r="G24" s="192"/>
      <c r="H24" s="193"/>
      <c r="I24" s="60"/>
      <c r="J24" s="60"/>
      <c r="K24" s="60"/>
      <c r="L24" s="60"/>
      <c r="M24" s="60"/>
      <c r="N24" s="60"/>
      <c r="O24" s="60"/>
      <c r="P24" s="60"/>
    </row>
    <row r="25" spans="2:16" ht="30" customHeight="1" x14ac:dyDescent="0.25">
      <c r="B25" s="194"/>
      <c r="C25" s="195"/>
      <c r="D25" s="195"/>
      <c r="E25" s="195"/>
      <c r="F25" s="195"/>
      <c r="G25" s="195"/>
      <c r="H25" s="196"/>
      <c r="I25" s="60"/>
      <c r="J25" s="60"/>
      <c r="K25" s="60"/>
      <c r="L25" s="60"/>
      <c r="M25" s="60"/>
      <c r="N25" s="60"/>
      <c r="O25" s="60"/>
      <c r="P25" s="60"/>
    </row>
    <row r="26" spans="2:16" ht="30" customHeight="1" thickBot="1" x14ac:dyDescent="0.3">
      <c r="B26" s="197"/>
      <c r="C26" s="198"/>
      <c r="D26" s="198"/>
      <c r="E26" s="198"/>
      <c r="F26" s="198"/>
      <c r="G26" s="198"/>
      <c r="H26" s="199"/>
      <c r="I26" s="60"/>
      <c r="J26" s="60"/>
      <c r="K26" s="60"/>
      <c r="L26" s="60"/>
      <c r="M26" s="60"/>
      <c r="N26" s="60"/>
      <c r="O26" s="60"/>
      <c r="P26" s="60"/>
    </row>
    <row r="27" spans="2:16" ht="30" customHeight="1" x14ac:dyDescent="0.3">
      <c r="B27" s="200" t="s">
        <v>135</v>
      </c>
      <c r="C27" s="201"/>
      <c r="D27" s="201"/>
      <c r="E27" s="201"/>
      <c r="F27" s="201"/>
      <c r="G27" s="201"/>
      <c r="H27" s="202"/>
      <c r="I27" s="61"/>
      <c r="J27" s="61"/>
      <c r="K27" s="61"/>
      <c r="L27" s="61"/>
      <c r="M27" s="61"/>
      <c r="N27" s="61"/>
      <c r="O27" s="61"/>
      <c r="P27" s="60"/>
    </row>
    <row r="28" spans="2:16" ht="15" customHeight="1" x14ac:dyDescent="0.3">
      <c r="B28" s="183" t="s">
        <v>87</v>
      </c>
      <c r="C28" s="184"/>
      <c r="D28" s="184"/>
      <c r="E28" s="184"/>
      <c r="F28" s="187" t="s">
        <v>88</v>
      </c>
      <c r="G28" s="187"/>
      <c r="H28" s="188"/>
      <c r="I28" s="61"/>
      <c r="J28" s="61"/>
      <c r="K28" s="61"/>
      <c r="L28" s="61"/>
      <c r="M28" s="61"/>
      <c r="N28" s="61"/>
      <c r="O28" s="61"/>
      <c r="P28" s="60"/>
    </row>
    <row r="29" spans="2:16" ht="15" customHeight="1" thickBot="1" x14ac:dyDescent="0.3">
      <c r="B29" s="185"/>
      <c r="C29" s="186"/>
      <c r="D29" s="186"/>
      <c r="E29" s="186"/>
      <c r="F29" s="189"/>
      <c r="G29" s="189"/>
      <c r="H29" s="190"/>
      <c r="I29" s="62"/>
      <c r="J29" s="62"/>
      <c r="K29" s="62"/>
      <c r="L29" s="62"/>
      <c r="M29" s="62"/>
      <c r="N29" s="62"/>
      <c r="O29" s="62"/>
      <c r="P29" s="60"/>
    </row>
    <row r="30" spans="2:16" ht="15.75" customHeight="1" x14ac:dyDescent="0.25">
      <c r="B30" s="63"/>
      <c r="C30" s="63"/>
      <c r="D30" s="63"/>
      <c r="E30" s="63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0"/>
    </row>
    <row r="31" spans="2:16" x14ac:dyDescent="0.25">
      <c r="I31" s="60"/>
      <c r="J31" s="60"/>
      <c r="K31" s="60"/>
      <c r="L31" s="60"/>
      <c r="M31" s="60"/>
      <c r="N31" s="60"/>
      <c r="O31" s="60"/>
      <c r="P31" s="60"/>
    </row>
  </sheetData>
  <sheetProtection algorithmName="SHA-512" hashValue="YXFyogPmC/n6QeNvkmWNUEP2hi8GpWgux9sLY5y4HnUNTEVIkzpYSR9VDc3gnGhJLb0QO0JLuQyNutLZ5pYeEA==" saltValue="KKQSKUdXHHPV3dXVJPDxiA==" spinCount="100000" sheet="1" objects="1" scenarios="1" formatCells="0" formatColumns="0" formatRows="0"/>
  <mergeCells count="25">
    <mergeCell ref="B28:E29"/>
    <mergeCell ref="F28:H29"/>
    <mergeCell ref="B24:H26"/>
    <mergeCell ref="B27:H27"/>
    <mergeCell ref="C23:D23"/>
    <mergeCell ref="C22:D22"/>
    <mergeCell ref="C19:D19"/>
    <mergeCell ref="C20:D20"/>
    <mergeCell ref="C21:D21"/>
    <mergeCell ref="C14:D14"/>
    <mergeCell ref="C15:D15"/>
    <mergeCell ref="C17:D17"/>
    <mergeCell ref="C18:D18"/>
    <mergeCell ref="B6:C6"/>
    <mergeCell ref="D6:E6"/>
    <mergeCell ref="B7:C7"/>
    <mergeCell ref="D7:E7"/>
    <mergeCell ref="C16:D16"/>
    <mergeCell ref="B10:C10"/>
    <mergeCell ref="D10:E10"/>
    <mergeCell ref="B8:C8"/>
    <mergeCell ref="D8:E8"/>
    <mergeCell ref="B9:C9"/>
    <mergeCell ref="D9:E9"/>
    <mergeCell ref="C13:D13"/>
  </mergeCells>
  <conditionalFormatting sqref="G11">
    <cfRule type="expression" dxfId="0" priority="1">
      <formula>$G$10="Yes"</formula>
    </cfRule>
  </conditionalFormatting>
  <hyperlinks>
    <hyperlink ref="F28" r:id="rId1" xr:uid="{00000000-0004-0000-0200-000000000000}"/>
  </hyperlinks>
  <pageMargins left="0.25" right="0.25" top="0.75" bottom="0.75" header="0.3" footer="0.3"/>
  <pageSetup scale="85" orientation="portrait" r:id="rId2"/>
  <headerFooter>
    <oddFooter>&amp;RRev 6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D29"/>
  <sheetViews>
    <sheetView topLeftCell="N1" workbookViewId="0">
      <selection activeCell="AC9" sqref="AC9"/>
    </sheetView>
  </sheetViews>
  <sheetFormatPr defaultRowHeight="15" x14ac:dyDescent="0.25"/>
  <cols>
    <col min="1" max="1" width="23.5703125" bestFit="1" customWidth="1"/>
    <col min="3" max="3" width="17.5703125" bestFit="1" customWidth="1"/>
    <col min="5" max="5" width="13.7109375" bestFit="1" customWidth="1"/>
    <col min="6" max="8" width="13.7109375" customWidth="1"/>
    <col min="9" max="9" width="35.7109375" bestFit="1" customWidth="1"/>
    <col min="11" max="11" width="19" bestFit="1" customWidth="1"/>
    <col min="13" max="13" width="23.140625" bestFit="1" customWidth="1"/>
    <col min="15" max="15" width="32.7109375" bestFit="1" customWidth="1"/>
    <col min="16" max="16" width="9.28515625" customWidth="1"/>
    <col min="17" max="17" width="24.42578125" bestFit="1" customWidth="1"/>
    <col min="19" max="19" width="12" bestFit="1" customWidth="1"/>
    <col min="20" max="20" width="18.85546875" bestFit="1" customWidth="1"/>
    <col min="22" max="22" width="20.140625" bestFit="1" customWidth="1"/>
    <col min="24" max="24" width="26.140625" customWidth="1"/>
    <col min="26" max="26" width="17.5703125" bestFit="1" customWidth="1"/>
    <col min="27" max="27" width="12" bestFit="1" customWidth="1"/>
    <col min="29" max="29" width="16.28515625" customWidth="1"/>
  </cols>
  <sheetData>
    <row r="1" spans="1:30" x14ac:dyDescent="0.25">
      <c r="A1" s="1" t="s">
        <v>20</v>
      </c>
      <c r="B1" s="1"/>
      <c r="C1" s="1" t="s">
        <v>26</v>
      </c>
      <c r="D1" s="1"/>
      <c r="E1" s="1"/>
      <c r="F1" s="1" t="s">
        <v>127</v>
      </c>
      <c r="G1" s="1"/>
      <c r="H1" s="1"/>
      <c r="I1" s="1" t="s">
        <v>12</v>
      </c>
      <c r="J1" s="1"/>
      <c r="K1" s="1" t="s">
        <v>13</v>
      </c>
      <c r="L1" s="1"/>
      <c r="M1" s="1" t="s">
        <v>21</v>
      </c>
      <c r="N1" s="1"/>
      <c r="O1" s="1" t="s">
        <v>14</v>
      </c>
      <c r="P1" s="1"/>
      <c r="Q1" s="1" t="s">
        <v>15</v>
      </c>
      <c r="R1" s="1"/>
      <c r="S1" s="1" t="s">
        <v>16</v>
      </c>
      <c r="T1" s="1" t="s">
        <v>119</v>
      </c>
      <c r="U1" s="1"/>
      <c r="V1" s="1" t="s">
        <v>17</v>
      </c>
      <c r="X1" s="1" t="s">
        <v>11</v>
      </c>
      <c r="Z1" s="1" t="s">
        <v>123</v>
      </c>
      <c r="AA1" s="1" t="s">
        <v>385</v>
      </c>
      <c r="AB1" s="1" t="s">
        <v>390</v>
      </c>
      <c r="AC1" s="1" t="s">
        <v>394</v>
      </c>
      <c r="AD1" s="1" t="s">
        <v>534</v>
      </c>
    </row>
    <row r="2" spans="1:30" x14ac:dyDescent="0.25">
      <c r="A2" t="s">
        <v>448</v>
      </c>
      <c r="B2" s="3" t="s">
        <v>42</v>
      </c>
      <c r="C2" t="s">
        <v>22</v>
      </c>
      <c r="D2" s="3" t="s">
        <v>29</v>
      </c>
      <c r="E2" s="3" t="s">
        <v>22</v>
      </c>
      <c r="F2" s="3" t="s">
        <v>128</v>
      </c>
      <c r="G2" s="3" t="s">
        <v>129</v>
      </c>
      <c r="H2" s="3" t="s">
        <v>130</v>
      </c>
      <c r="I2" t="s">
        <v>37</v>
      </c>
      <c r="J2" s="3" t="s">
        <v>28</v>
      </c>
      <c r="K2" t="s">
        <v>43</v>
      </c>
      <c r="L2" s="3" t="s">
        <v>27</v>
      </c>
      <c r="M2" t="s">
        <v>137</v>
      </c>
      <c r="N2" s="3" t="s">
        <v>27</v>
      </c>
      <c r="O2" t="s">
        <v>47</v>
      </c>
      <c r="P2" s="3" t="s">
        <v>41</v>
      </c>
      <c r="Q2" t="s">
        <v>56</v>
      </c>
      <c r="R2" s="3" t="s">
        <v>27</v>
      </c>
      <c r="S2" t="s">
        <v>59</v>
      </c>
      <c r="T2" t="s">
        <v>59</v>
      </c>
      <c r="U2" s="3" t="s">
        <v>29</v>
      </c>
      <c r="V2" t="s">
        <v>64</v>
      </c>
      <c r="W2" s="3" t="s">
        <v>41</v>
      </c>
      <c r="X2" t="s">
        <v>90</v>
      </c>
      <c r="Y2" t="s">
        <v>101</v>
      </c>
      <c r="Z2" t="s">
        <v>124</v>
      </c>
      <c r="AA2" t="s">
        <v>388</v>
      </c>
      <c r="AB2" t="s">
        <v>391</v>
      </c>
      <c r="AC2" t="s">
        <v>543</v>
      </c>
      <c r="AD2" t="s">
        <v>535</v>
      </c>
    </row>
    <row r="3" spans="1:30" x14ac:dyDescent="0.25">
      <c r="A3" t="s">
        <v>136</v>
      </c>
      <c r="B3" s="3" t="s">
        <v>53</v>
      </c>
      <c r="C3" s="2" t="s">
        <v>23</v>
      </c>
      <c r="D3" s="3" t="s">
        <v>30</v>
      </c>
      <c r="E3" s="2">
        <v>0.75</v>
      </c>
      <c r="F3">
        <v>200</v>
      </c>
      <c r="G3" s="2">
        <v>5</v>
      </c>
      <c r="H3" s="2">
        <v>5</v>
      </c>
      <c r="I3" t="s">
        <v>38</v>
      </c>
      <c r="J3" s="3" t="s">
        <v>40</v>
      </c>
      <c r="K3" t="s">
        <v>44</v>
      </c>
      <c r="L3" s="3" t="s">
        <v>28</v>
      </c>
      <c r="M3" t="s">
        <v>46</v>
      </c>
      <c r="N3" s="3" t="s">
        <v>28</v>
      </c>
      <c r="O3" t="s">
        <v>48</v>
      </c>
      <c r="P3" s="3" t="s">
        <v>27</v>
      </c>
      <c r="Q3" t="s">
        <v>57</v>
      </c>
      <c r="R3" s="3" t="s">
        <v>28</v>
      </c>
      <c r="S3" t="s">
        <v>61</v>
      </c>
      <c r="T3" t="s">
        <v>121</v>
      </c>
      <c r="U3" s="3" t="s">
        <v>32</v>
      </c>
      <c r="V3" t="s">
        <v>65</v>
      </c>
      <c r="W3" s="3" t="s">
        <v>27</v>
      </c>
      <c r="X3" t="s">
        <v>91</v>
      </c>
      <c r="Y3" t="s">
        <v>104</v>
      </c>
      <c r="Z3" t="s">
        <v>125</v>
      </c>
      <c r="AA3" t="s">
        <v>386</v>
      </c>
      <c r="AB3" t="s">
        <v>392</v>
      </c>
      <c r="AC3" t="s">
        <v>544</v>
      </c>
      <c r="AD3" t="s">
        <v>536</v>
      </c>
    </row>
    <row r="4" spans="1:30" x14ac:dyDescent="0.25">
      <c r="C4" s="2" t="s">
        <v>24</v>
      </c>
      <c r="D4" s="3" t="s">
        <v>138</v>
      </c>
      <c r="E4" s="94">
        <v>1</v>
      </c>
      <c r="F4">
        <v>600</v>
      </c>
      <c r="G4" s="2">
        <v>10</v>
      </c>
      <c r="H4" s="2">
        <v>20</v>
      </c>
      <c r="I4" t="s">
        <v>383</v>
      </c>
      <c r="J4" s="3" t="s">
        <v>42</v>
      </c>
      <c r="K4" t="s">
        <v>45</v>
      </c>
      <c r="L4" s="3" t="s">
        <v>40</v>
      </c>
      <c r="O4" t="s">
        <v>49</v>
      </c>
      <c r="P4" s="3" t="s">
        <v>28</v>
      </c>
      <c r="Q4" t="s">
        <v>58</v>
      </c>
      <c r="R4" s="3" t="s">
        <v>40</v>
      </c>
      <c r="S4" t="s">
        <v>62</v>
      </c>
      <c r="T4" t="s">
        <v>122</v>
      </c>
      <c r="U4" s="3" t="s">
        <v>60</v>
      </c>
      <c r="V4" t="s">
        <v>58</v>
      </c>
      <c r="W4" s="3" t="s">
        <v>66</v>
      </c>
      <c r="X4" t="s">
        <v>92</v>
      </c>
      <c r="Y4" t="s">
        <v>102</v>
      </c>
      <c r="Z4" t="s">
        <v>126</v>
      </c>
      <c r="AA4" t="s">
        <v>387</v>
      </c>
      <c r="AC4" t="s">
        <v>392</v>
      </c>
      <c r="AD4" t="s">
        <v>539</v>
      </c>
    </row>
    <row r="5" spans="1:30" x14ac:dyDescent="0.25">
      <c r="C5" s="2" t="s">
        <v>25</v>
      </c>
      <c r="D5" s="3" t="s">
        <v>31</v>
      </c>
      <c r="E5" s="94">
        <v>1.25</v>
      </c>
      <c r="F5">
        <v>1000</v>
      </c>
      <c r="G5" s="2">
        <v>20</v>
      </c>
      <c r="H5" s="2">
        <v>30</v>
      </c>
      <c r="I5" t="s">
        <v>39</v>
      </c>
      <c r="J5" s="3" t="s">
        <v>53</v>
      </c>
      <c r="O5" t="s">
        <v>55</v>
      </c>
      <c r="P5" s="3" t="s">
        <v>40</v>
      </c>
      <c r="S5" t="s">
        <v>63</v>
      </c>
      <c r="X5" t="s">
        <v>94</v>
      </c>
      <c r="Y5" t="s">
        <v>105</v>
      </c>
      <c r="Z5" t="s">
        <v>470</v>
      </c>
      <c r="AD5" t="s">
        <v>537</v>
      </c>
    </row>
    <row r="6" spans="1:30" x14ac:dyDescent="0.25">
      <c r="C6" s="2" t="s">
        <v>67</v>
      </c>
      <c r="D6" s="3" t="s">
        <v>32</v>
      </c>
      <c r="E6" s="94">
        <v>1.5</v>
      </c>
      <c r="F6">
        <v>2000</v>
      </c>
      <c r="G6" s="2">
        <v>30</v>
      </c>
      <c r="H6" s="2">
        <v>60</v>
      </c>
      <c r="O6" t="s">
        <v>51</v>
      </c>
      <c r="P6" s="3" t="s">
        <v>42</v>
      </c>
      <c r="X6" t="s">
        <v>93</v>
      </c>
      <c r="Y6" t="s">
        <v>106</v>
      </c>
    </row>
    <row r="7" spans="1:30" x14ac:dyDescent="0.25">
      <c r="C7" s="2" t="s">
        <v>68</v>
      </c>
      <c r="D7" s="3" t="s">
        <v>33</v>
      </c>
      <c r="E7" s="94">
        <v>2</v>
      </c>
      <c r="F7">
        <v>3000</v>
      </c>
      <c r="G7" s="2">
        <v>50</v>
      </c>
      <c r="H7" s="2">
        <v>80</v>
      </c>
      <c r="O7" t="s">
        <v>52</v>
      </c>
      <c r="P7" s="3" t="s">
        <v>53</v>
      </c>
      <c r="X7" t="s">
        <v>95</v>
      </c>
      <c r="Y7" t="s">
        <v>107</v>
      </c>
    </row>
    <row r="8" spans="1:30" x14ac:dyDescent="0.25">
      <c r="C8" s="2" t="s">
        <v>69</v>
      </c>
      <c r="D8" s="3" t="s">
        <v>35</v>
      </c>
      <c r="E8" s="94">
        <v>2.5</v>
      </c>
      <c r="F8">
        <v>4000</v>
      </c>
      <c r="G8" s="2">
        <v>70</v>
      </c>
      <c r="H8" s="2">
        <v>120</v>
      </c>
      <c r="O8" t="s">
        <v>50</v>
      </c>
      <c r="P8" s="3" t="s">
        <v>54</v>
      </c>
      <c r="X8" t="s">
        <v>96</v>
      </c>
      <c r="Y8" t="s">
        <v>108</v>
      </c>
    </row>
    <row r="9" spans="1:30" x14ac:dyDescent="0.25">
      <c r="C9" s="2" t="s">
        <v>70</v>
      </c>
      <c r="D9" s="3" t="s">
        <v>34</v>
      </c>
      <c r="E9" s="94">
        <v>3</v>
      </c>
      <c r="F9">
        <v>7000</v>
      </c>
      <c r="G9" s="2">
        <v>120</v>
      </c>
      <c r="H9" s="2">
        <v>200</v>
      </c>
      <c r="X9" t="s">
        <v>97</v>
      </c>
      <c r="Y9" t="s">
        <v>109</v>
      </c>
    </row>
    <row r="10" spans="1:30" x14ac:dyDescent="0.25">
      <c r="C10" s="2" t="s">
        <v>319</v>
      </c>
      <c r="D10" s="3" t="s">
        <v>321</v>
      </c>
      <c r="E10" s="94">
        <v>4</v>
      </c>
      <c r="F10">
        <v>10000</v>
      </c>
      <c r="G10" s="2">
        <v>170</v>
      </c>
      <c r="H10" s="2">
        <v>300</v>
      </c>
      <c r="X10" t="s">
        <v>98</v>
      </c>
      <c r="Y10" t="s">
        <v>110</v>
      </c>
    </row>
    <row r="11" spans="1:30" x14ac:dyDescent="0.25">
      <c r="C11" s="2" t="s">
        <v>320</v>
      </c>
      <c r="D11" s="3" t="s">
        <v>322</v>
      </c>
      <c r="E11" s="94">
        <v>6</v>
      </c>
      <c r="F11">
        <v>15000</v>
      </c>
      <c r="G11" s="2">
        <v>250</v>
      </c>
      <c r="H11" s="2">
        <v>450</v>
      </c>
      <c r="X11" t="s">
        <v>99</v>
      </c>
      <c r="Y11" t="s">
        <v>103</v>
      </c>
    </row>
    <row r="12" spans="1:30" x14ac:dyDescent="0.25">
      <c r="E12" s="94"/>
      <c r="F12">
        <v>25000</v>
      </c>
      <c r="G12" s="2">
        <v>420</v>
      </c>
      <c r="H12" s="2">
        <v>700</v>
      </c>
      <c r="X12" t="s">
        <v>100</v>
      </c>
      <c r="Y12" t="s">
        <v>111</v>
      </c>
    </row>
    <row r="13" spans="1:30" x14ac:dyDescent="0.25">
      <c r="E13" s="2"/>
      <c r="F13">
        <v>40000</v>
      </c>
      <c r="G13" s="2">
        <v>700</v>
      </c>
      <c r="H13" s="2">
        <v>1200</v>
      </c>
    </row>
    <row r="14" spans="1:30" x14ac:dyDescent="0.25">
      <c r="E14" s="2"/>
      <c r="F14">
        <v>60000</v>
      </c>
      <c r="G14" s="2">
        <v>1000</v>
      </c>
      <c r="H14" s="2">
        <v>1700</v>
      </c>
    </row>
    <row r="15" spans="1:30" x14ac:dyDescent="0.25">
      <c r="F15">
        <v>100000</v>
      </c>
      <c r="G15" s="2">
        <v>1700</v>
      </c>
      <c r="H15" s="2">
        <v>2800</v>
      </c>
    </row>
    <row r="16" spans="1:30" x14ac:dyDescent="0.25">
      <c r="F16">
        <v>150000</v>
      </c>
      <c r="G16" s="2">
        <v>2500</v>
      </c>
      <c r="H16" s="2">
        <v>4300</v>
      </c>
    </row>
    <row r="19" spans="1:24" x14ac:dyDescent="0.25">
      <c r="A19" s="1" t="s">
        <v>74</v>
      </c>
      <c r="X19" s="1" t="s">
        <v>85</v>
      </c>
    </row>
    <row r="20" spans="1:24" x14ac:dyDescent="0.25">
      <c r="A20" t="s">
        <v>75</v>
      </c>
      <c r="B20" t="e">
        <f>VLOOKUP('Model Selection'!C12,$A$2:$B$3,2,FALSE)</f>
        <v>#N/A</v>
      </c>
      <c r="D20" t="e">
        <f>VLOOKUP('Model Selection'!D12,$C$2:$D$11,2,FALSE)</f>
        <v>#N/A</v>
      </c>
      <c r="J20" t="e">
        <f>VLOOKUP('Model Selection'!E12,$I$2:$J$5,2,FALSE)</f>
        <v>#N/A</v>
      </c>
      <c r="L20" t="str">
        <f>VLOOKUP('Model Selection'!F12,$K$2:$L$4,2,FALSE)</f>
        <v>1</v>
      </c>
      <c r="N20" t="str">
        <f>VLOOKUP('Model Selection'!G12,$M$2:$N$3,2,FALSE)</f>
        <v>1</v>
      </c>
      <c r="P20" t="e">
        <f>VLOOKUP('Model Selection'!H12,$O$2:$P$8,2,FALSE)</f>
        <v>#N/A</v>
      </c>
      <c r="R20" t="e">
        <f>VLOOKUP('Model Selection'!I12,$Q$2:$R$4,2,FALSE)</f>
        <v>#N/A</v>
      </c>
      <c r="U20" t="e">
        <f>VLOOKUP('Model Selection'!J12,$T$2:$U$4,2,FALSE)</f>
        <v>#N/A</v>
      </c>
      <c r="W20" t="e">
        <f>VLOOKUP('Model Selection'!K12,$V$2:$W$4,2,FALSE)</f>
        <v>#N/A</v>
      </c>
      <c r="X20" t="str">
        <f>IF(COUNTIF('Part Number Lookup'!$A$2:$A$97,"F-5"&amp;B20&amp;D20&amp;"-"&amp;J20&amp;L20&amp;N20&amp;P20&amp;"-"&amp;R20&amp;U20&amp;W20)=1,"F-5"&amp;B20&amp;D20&amp;"-"&amp;J20&amp;L20&amp;N20&amp;P20&amp;"-"&amp;R20&amp;U20&amp;W20,"Model # Not Valid")</f>
        <v>Model # Not Valid</v>
      </c>
    </row>
    <row r="21" spans="1:24" x14ac:dyDescent="0.25">
      <c r="A21" t="s">
        <v>76</v>
      </c>
      <c r="B21" t="e">
        <f>VLOOKUP('Model Selection'!C13,$A$2:$B$3,2,FALSE)</f>
        <v>#N/A</v>
      </c>
      <c r="D21" t="e">
        <f>VLOOKUP('Model Selection'!D13,$C$2:$D$11,2,FALSE)</f>
        <v>#N/A</v>
      </c>
      <c r="J21" t="e">
        <f>VLOOKUP('Model Selection'!E13,$I$2:$J$5,2,FALSE)</f>
        <v>#N/A</v>
      </c>
      <c r="L21" t="str">
        <f>VLOOKUP('Model Selection'!F13,$K$2:$L$4,2,FALSE)</f>
        <v>1</v>
      </c>
      <c r="N21" t="str">
        <f>VLOOKUP('Model Selection'!G13,$M$2:$N$3,2,FALSE)</f>
        <v>1</v>
      </c>
      <c r="P21" t="e">
        <f>VLOOKUP('Model Selection'!H13,$O$2:$P$8,2,FALSE)</f>
        <v>#N/A</v>
      </c>
      <c r="R21" t="e">
        <f>VLOOKUP('Model Selection'!I13,$Q$2:$R$4,2,FALSE)</f>
        <v>#N/A</v>
      </c>
      <c r="U21" t="e">
        <f>VLOOKUP('Model Selection'!J13,$T$2:$U$4,2,FALSE)</f>
        <v>#N/A</v>
      </c>
      <c r="W21" t="e">
        <f>VLOOKUP('Model Selection'!K13,$V$2:$W$4,2,FALSE)</f>
        <v>#N/A</v>
      </c>
      <c r="X21" t="str">
        <f>IF(COUNTIF('Part Number Lookup'!$A$2:$A$97,"F-5"&amp;B21&amp;D21&amp;"-"&amp;J21&amp;L21&amp;N21&amp;P21&amp;"-"&amp;R21&amp;U21&amp;W21)=1,"F-5"&amp;B21&amp;D21&amp;"-"&amp;J21&amp;L21&amp;N21&amp;P21&amp;"-"&amp;R21&amp;U21&amp;W21,"Model # Not Valid")</f>
        <v>Model # Not Valid</v>
      </c>
    </row>
    <row r="22" spans="1:24" x14ac:dyDescent="0.25">
      <c r="A22" t="s">
        <v>77</v>
      </c>
      <c r="B22" t="e">
        <f>VLOOKUP('Model Selection'!C14,$A$2:$B$3,2,FALSE)</f>
        <v>#N/A</v>
      </c>
      <c r="D22" t="e">
        <f>VLOOKUP('Model Selection'!D14,$C$2:$D$11,2,FALSE)</f>
        <v>#N/A</v>
      </c>
      <c r="J22" t="e">
        <f>VLOOKUP('Model Selection'!E14,$I$2:$J$5,2,FALSE)</f>
        <v>#N/A</v>
      </c>
      <c r="L22" t="str">
        <f>VLOOKUP('Model Selection'!F14,$K$2:$L$4,2,FALSE)</f>
        <v>1</v>
      </c>
      <c r="N22" t="str">
        <f>VLOOKUP('Model Selection'!G14,$M$2:$N$3,2,FALSE)</f>
        <v>1</v>
      </c>
      <c r="P22" t="e">
        <f>VLOOKUP('Model Selection'!H14,$O$2:$P$8,2,FALSE)</f>
        <v>#N/A</v>
      </c>
      <c r="R22" t="e">
        <f>VLOOKUP('Model Selection'!I14,$Q$2:$R$4,2,FALSE)</f>
        <v>#N/A</v>
      </c>
      <c r="U22" t="e">
        <f>VLOOKUP('Model Selection'!J14,$T$2:$U$4,2,FALSE)</f>
        <v>#N/A</v>
      </c>
      <c r="W22" t="e">
        <f>VLOOKUP('Model Selection'!K14,$V$2:$W$4,2,FALSE)</f>
        <v>#N/A</v>
      </c>
      <c r="X22" t="str">
        <f>IF(COUNTIF('Part Number Lookup'!$A$2:$A$97,"F-5"&amp;B22&amp;D22&amp;"-"&amp;J22&amp;L22&amp;N22&amp;P22&amp;"-"&amp;R22&amp;U22&amp;W22)=1,"F-5"&amp;B22&amp;D22&amp;"-"&amp;J22&amp;L22&amp;N22&amp;P22&amp;"-"&amp;R22&amp;U22&amp;W22,"Model # Not Valid")</f>
        <v>Model # Not Valid</v>
      </c>
    </row>
    <row r="23" spans="1:24" x14ac:dyDescent="0.25">
      <c r="A23" t="s">
        <v>78</v>
      </c>
      <c r="B23" t="e">
        <f>VLOOKUP('Model Selection'!C15,$A$2:$B$3,2,FALSE)</f>
        <v>#N/A</v>
      </c>
      <c r="D23" t="e">
        <f>VLOOKUP('Model Selection'!D15,$C$2:$D$11,2,FALSE)</f>
        <v>#N/A</v>
      </c>
      <c r="J23" t="e">
        <f>VLOOKUP('Model Selection'!E15,$I$2:$J$5,2,FALSE)</f>
        <v>#N/A</v>
      </c>
      <c r="L23" t="str">
        <f>VLOOKUP('Model Selection'!F15,$K$2:$L$4,2,FALSE)</f>
        <v>1</v>
      </c>
      <c r="N23" t="str">
        <f>VLOOKUP('Model Selection'!G15,$M$2:$N$3,2,FALSE)</f>
        <v>1</v>
      </c>
      <c r="P23" t="e">
        <f>VLOOKUP('Model Selection'!H15,$O$2:$P$8,2,FALSE)</f>
        <v>#N/A</v>
      </c>
      <c r="R23" t="e">
        <f>VLOOKUP('Model Selection'!I15,$Q$2:$R$4,2,FALSE)</f>
        <v>#N/A</v>
      </c>
      <c r="U23" t="e">
        <f>VLOOKUP('Model Selection'!J15,$T$2:$U$4,2,FALSE)</f>
        <v>#N/A</v>
      </c>
      <c r="W23" t="e">
        <f>VLOOKUP('Model Selection'!K15,$V$2:$W$4,2,FALSE)</f>
        <v>#N/A</v>
      </c>
      <c r="X23" t="str">
        <f>IF(COUNTIF('Part Number Lookup'!$A$2:$A$97,"F-5"&amp;B23&amp;D23&amp;"-"&amp;J23&amp;L23&amp;N23&amp;P23&amp;"-"&amp;R23&amp;U23&amp;W23)=1,"F-5"&amp;B23&amp;D23&amp;"-"&amp;J23&amp;L23&amp;N23&amp;P23&amp;"-"&amp;R23&amp;U23&amp;W23,"Model # Not Valid")</f>
        <v>Model # Not Valid</v>
      </c>
    </row>
    <row r="24" spans="1:24" x14ac:dyDescent="0.25">
      <c r="A24" t="s">
        <v>79</v>
      </c>
      <c r="B24" t="e">
        <f>VLOOKUP('Model Selection'!C16,$A$2:$B$3,2,FALSE)</f>
        <v>#N/A</v>
      </c>
      <c r="D24" t="e">
        <f>VLOOKUP('Model Selection'!D16,$C$2:$D$11,2,FALSE)</f>
        <v>#N/A</v>
      </c>
      <c r="J24" t="e">
        <f>VLOOKUP('Model Selection'!E16,$I$2:$J$5,2,FALSE)</f>
        <v>#N/A</v>
      </c>
      <c r="L24" t="str">
        <f>VLOOKUP('Model Selection'!F16,$K$2:$L$4,2,FALSE)</f>
        <v>1</v>
      </c>
      <c r="N24" t="str">
        <f>VLOOKUP('Model Selection'!G16,$M$2:$N$3,2,FALSE)</f>
        <v>1</v>
      </c>
      <c r="P24" t="e">
        <f>VLOOKUP('Model Selection'!H16,$O$2:$P$8,2,FALSE)</f>
        <v>#N/A</v>
      </c>
      <c r="R24" t="e">
        <f>VLOOKUP('Model Selection'!I16,$Q$2:$R$4,2,FALSE)</f>
        <v>#N/A</v>
      </c>
      <c r="U24" t="e">
        <f>VLOOKUP('Model Selection'!J16,$T$2:$U$4,2,FALSE)</f>
        <v>#N/A</v>
      </c>
      <c r="W24" t="e">
        <f>VLOOKUP('Model Selection'!K16,$V$2:$W$4,2,FALSE)</f>
        <v>#N/A</v>
      </c>
      <c r="X24" t="str">
        <f>IF(COUNTIF('Part Number Lookup'!$A$2:$A$97,"F-5"&amp;B24&amp;D24&amp;"-"&amp;J24&amp;L24&amp;N24&amp;P24&amp;"-"&amp;R24&amp;U24&amp;W24)=1,"F-5"&amp;B24&amp;D24&amp;"-"&amp;J24&amp;L24&amp;N24&amp;P24&amp;"-"&amp;R24&amp;U24&amp;W24,"Model # Not Valid")</f>
        <v>Model # Not Valid</v>
      </c>
    </row>
    <row r="25" spans="1:24" x14ac:dyDescent="0.25">
      <c r="A25" t="s">
        <v>80</v>
      </c>
      <c r="B25" t="e">
        <f>VLOOKUP('Model Selection'!C17,$A$2:$B$3,2,FALSE)</f>
        <v>#N/A</v>
      </c>
      <c r="D25" t="e">
        <f>VLOOKUP('Model Selection'!D17,$C$2:$D$11,2,FALSE)</f>
        <v>#N/A</v>
      </c>
      <c r="J25" t="e">
        <f>VLOOKUP('Model Selection'!E17,$I$2:$J$5,2,FALSE)</f>
        <v>#N/A</v>
      </c>
      <c r="L25" t="str">
        <f>VLOOKUP('Model Selection'!F17,$K$2:$L$4,2,FALSE)</f>
        <v>1</v>
      </c>
      <c r="N25" t="str">
        <f>VLOOKUP('Model Selection'!G17,$M$2:$N$3,2,FALSE)</f>
        <v>1</v>
      </c>
      <c r="P25" t="e">
        <f>VLOOKUP('Model Selection'!H17,$O$2:$P$8,2,FALSE)</f>
        <v>#N/A</v>
      </c>
      <c r="R25" t="e">
        <f>VLOOKUP('Model Selection'!I17,$Q$2:$R$4,2,FALSE)</f>
        <v>#N/A</v>
      </c>
      <c r="U25" t="e">
        <f>VLOOKUP('Model Selection'!J17,$T$2:$U$4,2,FALSE)</f>
        <v>#N/A</v>
      </c>
      <c r="W25" t="e">
        <f>VLOOKUP('Model Selection'!K17,$V$2:$W$4,2,FALSE)</f>
        <v>#N/A</v>
      </c>
      <c r="X25" t="str">
        <f>IF(COUNTIF('Part Number Lookup'!$A$2:$A$97,"F-5"&amp;B25&amp;D25&amp;"-"&amp;J25&amp;L25&amp;N25&amp;P25&amp;"-"&amp;R25&amp;U25&amp;W25)=1,"F-5"&amp;B25&amp;D25&amp;"-"&amp;J25&amp;L25&amp;N25&amp;P25&amp;"-"&amp;R25&amp;U25&amp;W25,"Model # Not Valid")</f>
        <v>Model # Not Valid</v>
      </c>
    </row>
    <row r="26" spans="1:24" x14ac:dyDescent="0.25">
      <c r="A26" t="s">
        <v>81</v>
      </c>
      <c r="B26" t="e">
        <f>VLOOKUP('Model Selection'!C18,$A$2:$B$3,2,FALSE)</f>
        <v>#N/A</v>
      </c>
      <c r="D26" t="e">
        <f>VLOOKUP('Model Selection'!D18,$C$2:$D$11,2,FALSE)</f>
        <v>#N/A</v>
      </c>
      <c r="J26" t="e">
        <f>VLOOKUP('Model Selection'!E18,$I$2:$J$5,2,FALSE)</f>
        <v>#N/A</v>
      </c>
      <c r="L26" t="str">
        <f>VLOOKUP('Model Selection'!F18,$K$2:$L$4,2,FALSE)</f>
        <v>1</v>
      </c>
      <c r="N26" t="str">
        <f>VLOOKUP('Model Selection'!G18,$M$2:$N$3,2,FALSE)</f>
        <v>1</v>
      </c>
      <c r="P26" t="e">
        <f>VLOOKUP('Model Selection'!H18,$O$2:$P$8,2,FALSE)</f>
        <v>#N/A</v>
      </c>
      <c r="R26" t="e">
        <f>VLOOKUP('Model Selection'!I18,$Q$2:$R$4,2,FALSE)</f>
        <v>#N/A</v>
      </c>
      <c r="U26" t="e">
        <f>VLOOKUP('Model Selection'!J18,$T$2:$U$4,2,FALSE)</f>
        <v>#N/A</v>
      </c>
      <c r="W26" t="e">
        <f>VLOOKUP('Model Selection'!K18,$V$2:$W$4,2,FALSE)</f>
        <v>#N/A</v>
      </c>
      <c r="X26" t="str">
        <f>IF(COUNTIF('Part Number Lookup'!$A$2:$A$97,"F-5"&amp;B26&amp;D26&amp;"-"&amp;J26&amp;L26&amp;N26&amp;P26&amp;"-"&amp;R26&amp;U26&amp;W26)=1,"F-5"&amp;B26&amp;D26&amp;"-"&amp;J26&amp;L26&amp;N26&amp;P26&amp;"-"&amp;R26&amp;U26&amp;W26,"Model # Not Valid")</f>
        <v>Model # Not Valid</v>
      </c>
    </row>
    <row r="27" spans="1:24" x14ac:dyDescent="0.25">
      <c r="A27" t="s">
        <v>82</v>
      </c>
      <c r="B27" t="e">
        <f>VLOOKUP('Model Selection'!C19,$A$2:$B$3,2,FALSE)</f>
        <v>#N/A</v>
      </c>
      <c r="D27" t="e">
        <f>VLOOKUP('Model Selection'!D19,$C$2:$D$11,2,FALSE)</f>
        <v>#N/A</v>
      </c>
      <c r="J27" t="e">
        <f>VLOOKUP('Model Selection'!E19,$I$2:$J$5,2,FALSE)</f>
        <v>#N/A</v>
      </c>
      <c r="L27" t="str">
        <f>VLOOKUP('Model Selection'!F19,$K$2:$L$4,2,FALSE)</f>
        <v>1</v>
      </c>
      <c r="N27" t="str">
        <f>VLOOKUP('Model Selection'!G19,$M$2:$N$3,2,FALSE)</f>
        <v>1</v>
      </c>
      <c r="P27" t="e">
        <f>VLOOKUP('Model Selection'!H19,$O$2:$P$8,2,FALSE)</f>
        <v>#N/A</v>
      </c>
      <c r="R27" t="e">
        <f>VLOOKUP('Model Selection'!I19,$Q$2:$R$4,2,FALSE)</f>
        <v>#N/A</v>
      </c>
      <c r="U27" t="e">
        <f>VLOOKUP('Model Selection'!J19,$T$2:$U$4,2,FALSE)</f>
        <v>#N/A</v>
      </c>
      <c r="W27" t="e">
        <f>VLOOKUP('Model Selection'!K19,$V$2:$W$4,2,FALSE)</f>
        <v>#N/A</v>
      </c>
      <c r="X27" t="str">
        <f>IF(COUNTIF('Part Number Lookup'!$A$2:$A$97,"F-5"&amp;B27&amp;D27&amp;"-"&amp;J27&amp;L27&amp;N27&amp;P27&amp;"-"&amp;R27&amp;U27&amp;W27)=1,"F-5"&amp;B27&amp;D27&amp;"-"&amp;J27&amp;L27&amp;N27&amp;P27&amp;"-"&amp;R27&amp;U27&amp;W27,"Model # Not Valid")</f>
        <v>Model # Not Valid</v>
      </c>
    </row>
    <row r="28" spans="1:24" x14ac:dyDescent="0.25">
      <c r="A28" t="s">
        <v>83</v>
      </c>
      <c r="B28" t="e">
        <f>VLOOKUP('Model Selection'!C20,$A$2:$B$3,2,FALSE)</f>
        <v>#N/A</v>
      </c>
      <c r="D28" t="e">
        <f>VLOOKUP('Model Selection'!D20,$C$2:$D$11,2,FALSE)</f>
        <v>#N/A</v>
      </c>
      <c r="J28" t="e">
        <f>VLOOKUP('Model Selection'!E20,$I$2:$J$5,2,FALSE)</f>
        <v>#N/A</v>
      </c>
      <c r="L28" t="str">
        <f>VLOOKUP('Model Selection'!F20,$K$2:$L$4,2,FALSE)</f>
        <v>1</v>
      </c>
      <c r="N28" t="str">
        <f>VLOOKUP('Model Selection'!G20,$M$2:$N$3,2,FALSE)</f>
        <v>1</v>
      </c>
      <c r="P28" t="e">
        <f>VLOOKUP('Model Selection'!H20,$O$2:$P$8,2,FALSE)</f>
        <v>#N/A</v>
      </c>
      <c r="R28" t="e">
        <f>VLOOKUP('Model Selection'!I20,$Q$2:$R$4,2,FALSE)</f>
        <v>#N/A</v>
      </c>
      <c r="U28" t="e">
        <f>VLOOKUP('Model Selection'!J20,$T$2:$U$4,2,FALSE)</f>
        <v>#N/A</v>
      </c>
      <c r="W28" t="e">
        <f>VLOOKUP('Model Selection'!K20,$V$2:$W$4,2,FALSE)</f>
        <v>#N/A</v>
      </c>
      <c r="X28" t="str">
        <f>IF(COUNTIF('Part Number Lookup'!$A$2:$A$97,"F-5"&amp;B28&amp;D28&amp;"-"&amp;J28&amp;L28&amp;N28&amp;P28&amp;"-"&amp;R28&amp;U28&amp;W28)=1,"F-5"&amp;B28&amp;D28&amp;"-"&amp;J28&amp;L28&amp;N28&amp;P28&amp;"-"&amp;R28&amp;U28&amp;W28,"Model # Not Valid")</f>
        <v>Model # Not Valid</v>
      </c>
    </row>
    <row r="29" spans="1:24" x14ac:dyDescent="0.25">
      <c r="A29" t="s">
        <v>84</v>
      </c>
      <c r="B29" t="e">
        <f>VLOOKUP('Model Selection'!C21,$A$2:$B$3,2,FALSE)</f>
        <v>#N/A</v>
      </c>
      <c r="D29" t="e">
        <f>VLOOKUP('Model Selection'!D21,$C$2:$D$11,2,FALSE)</f>
        <v>#N/A</v>
      </c>
      <c r="J29" t="e">
        <f>VLOOKUP('Model Selection'!E21,$I$2:$J$5,2,FALSE)</f>
        <v>#N/A</v>
      </c>
      <c r="L29" t="str">
        <f>VLOOKUP('Model Selection'!F21,$K$2:$L$4,2,FALSE)</f>
        <v>1</v>
      </c>
      <c r="N29" t="str">
        <f>VLOOKUP('Model Selection'!G21,$M$2:$N$3,2,FALSE)</f>
        <v>1</v>
      </c>
      <c r="P29" t="e">
        <f>VLOOKUP('Model Selection'!H21,$O$2:$P$8,2,FALSE)</f>
        <v>#N/A</v>
      </c>
      <c r="R29" t="e">
        <f>VLOOKUP('Model Selection'!I21,$Q$2:$R$4,2,FALSE)</f>
        <v>#N/A</v>
      </c>
      <c r="U29" t="e">
        <f>VLOOKUP('Model Selection'!J21,$T$2:$U$4,2,FALSE)</f>
        <v>#N/A</v>
      </c>
      <c r="W29" t="e">
        <f>VLOOKUP('Model Selection'!K21,$V$2:$W$4,2,FALSE)</f>
        <v>#N/A</v>
      </c>
      <c r="X29" t="str">
        <f>IF(COUNTIF('Part Number Lookup'!$A$2:$A$97,"F-5"&amp;B29&amp;D29&amp;"-"&amp;J29&amp;L29&amp;N29&amp;P29&amp;"-"&amp;R29&amp;U29&amp;W29)=1,"F-5"&amp;B29&amp;D29&amp;"-"&amp;J29&amp;L29&amp;N29&amp;P29&amp;"-"&amp;R29&amp;U29&amp;W29,"Model # Not Valid")</f>
        <v>Model # Not Valid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97"/>
  <sheetViews>
    <sheetView topLeftCell="A82" zoomScaleNormal="100" workbookViewId="0"/>
  </sheetViews>
  <sheetFormatPr defaultRowHeight="15" x14ac:dyDescent="0.25"/>
  <cols>
    <col min="1" max="1" width="22.7109375" bestFit="1" customWidth="1"/>
    <col min="3" max="3" width="18.42578125" bestFit="1" customWidth="1"/>
    <col min="4" max="4" width="85.5703125" bestFit="1" customWidth="1"/>
    <col min="5" max="5" width="18.42578125" bestFit="1" customWidth="1"/>
  </cols>
  <sheetData>
    <row r="1" spans="1:4" x14ac:dyDescent="0.25">
      <c r="A1" t="s">
        <v>18</v>
      </c>
      <c r="B1" t="s">
        <v>71</v>
      </c>
      <c r="C1" t="s">
        <v>72</v>
      </c>
      <c r="D1" t="s">
        <v>73</v>
      </c>
    </row>
    <row r="2" spans="1:4" x14ac:dyDescent="0.25">
      <c r="A2" s="65" t="s">
        <v>408</v>
      </c>
      <c r="B2" s="64" t="s">
        <v>485</v>
      </c>
      <c r="C2" s="65" t="s">
        <v>509</v>
      </c>
      <c r="D2" s="65" t="s">
        <v>409</v>
      </c>
    </row>
    <row r="3" spans="1:4" x14ac:dyDescent="0.25">
      <c r="A3" s="65" t="s">
        <v>462</v>
      </c>
      <c r="B3" s="66" t="s">
        <v>486</v>
      </c>
      <c r="C3" s="67" t="s">
        <v>510</v>
      </c>
      <c r="D3" s="65" t="s">
        <v>468</v>
      </c>
    </row>
    <row r="4" spans="1:4" x14ac:dyDescent="0.25">
      <c r="A4" s="67" t="s">
        <v>410</v>
      </c>
      <c r="B4" s="64" t="s">
        <v>487</v>
      </c>
      <c r="C4" s="65" t="s">
        <v>511</v>
      </c>
      <c r="D4" s="67" t="s">
        <v>411</v>
      </c>
    </row>
    <row r="5" spans="1:4" x14ac:dyDescent="0.25">
      <c r="A5" s="67" t="s">
        <v>463</v>
      </c>
      <c r="B5" s="66" t="s">
        <v>488</v>
      </c>
      <c r="C5" s="67" t="s">
        <v>512</v>
      </c>
      <c r="D5" s="67" t="s">
        <v>468</v>
      </c>
    </row>
    <row r="6" spans="1:4" x14ac:dyDescent="0.25">
      <c r="A6" s="65" t="s">
        <v>412</v>
      </c>
      <c r="B6" s="64" t="s">
        <v>489</v>
      </c>
      <c r="C6" s="65" t="s">
        <v>513</v>
      </c>
      <c r="D6" s="65" t="s">
        <v>413</v>
      </c>
    </row>
    <row r="7" spans="1:4" x14ac:dyDescent="0.25">
      <c r="A7" s="65" t="s">
        <v>464</v>
      </c>
      <c r="B7" s="66" t="s">
        <v>490</v>
      </c>
      <c r="C7" s="67" t="s">
        <v>514</v>
      </c>
      <c r="D7" s="65" t="s">
        <v>469</v>
      </c>
    </row>
    <row r="8" spans="1:4" x14ac:dyDescent="0.25">
      <c r="A8" s="67" t="s">
        <v>414</v>
      </c>
      <c r="B8" s="64" t="s">
        <v>491</v>
      </c>
      <c r="C8" s="65" t="s">
        <v>515</v>
      </c>
      <c r="D8" s="67" t="s">
        <v>415</v>
      </c>
    </row>
    <row r="9" spans="1:4" x14ac:dyDescent="0.25">
      <c r="A9" s="67" t="s">
        <v>465</v>
      </c>
      <c r="B9" s="66" t="s">
        <v>492</v>
      </c>
      <c r="C9" s="67" t="s">
        <v>516</v>
      </c>
      <c r="D9" s="67" t="s">
        <v>469</v>
      </c>
    </row>
    <row r="10" spans="1:4" x14ac:dyDescent="0.25">
      <c r="A10" s="65" t="s">
        <v>420</v>
      </c>
      <c r="B10" s="64" t="s">
        <v>493</v>
      </c>
      <c r="C10" s="65" t="s">
        <v>517</v>
      </c>
      <c r="D10" s="65" t="s">
        <v>421</v>
      </c>
    </row>
    <row r="11" spans="1:4" x14ac:dyDescent="0.25">
      <c r="A11" s="67" t="s">
        <v>422</v>
      </c>
      <c r="B11" s="66" t="s">
        <v>494</v>
      </c>
      <c r="C11" s="67" t="s">
        <v>518</v>
      </c>
      <c r="D11" s="67" t="s">
        <v>423</v>
      </c>
    </row>
    <row r="12" spans="1:4" x14ac:dyDescent="0.25">
      <c r="A12" s="65" t="s">
        <v>432</v>
      </c>
      <c r="B12" s="64" t="s">
        <v>495</v>
      </c>
      <c r="C12" s="65" t="s">
        <v>519</v>
      </c>
      <c r="D12" s="65" t="s">
        <v>433</v>
      </c>
    </row>
    <row r="13" spans="1:4" x14ac:dyDescent="0.25">
      <c r="A13" s="67" t="s">
        <v>434</v>
      </c>
      <c r="B13" s="66" t="s">
        <v>496</v>
      </c>
      <c r="C13" s="67" t="s">
        <v>520</v>
      </c>
      <c r="D13" s="67" t="s">
        <v>435</v>
      </c>
    </row>
    <row r="14" spans="1:4" x14ac:dyDescent="0.25">
      <c r="A14" s="65" t="s">
        <v>440</v>
      </c>
      <c r="B14" s="64" t="s">
        <v>497</v>
      </c>
      <c r="C14" s="65" t="s">
        <v>521</v>
      </c>
      <c r="D14" s="65" t="s">
        <v>441</v>
      </c>
    </row>
    <row r="15" spans="1:4" x14ac:dyDescent="0.25">
      <c r="A15" s="67" t="s">
        <v>442</v>
      </c>
      <c r="B15" s="66" t="s">
        <v>498</v>
      </c>
      <c r="C15" s="67" t="s">
        <v>522</v>
      </c>
      <c r="D15" s="67" t="s">
        <v>443</v>
      </c>
    </row>
    <row r="16" spans="1:4" x14ac:dyDescent="0.25">
      <c r="A16" s="67" t="s">
        <v>444</v>
      </c>
      <c r="B16" s="64" t="s">
        <v>499</v>
      </c>
      <c r="C16" s="65" t="s">
        <v>523</v>
      </c>
      <c r="D16" s="67" t="s">
        <v>445</v>
      </c>
    </row>
    <row r="17" spans="1:4" x14ac:dyDescent="0.25">
      <c r="A17" s="67" t="s">
        <v>446</v>
      </c>
      <c r="B17" s="66" t="s">
        <v>500</v>
      </c>
      <c r="C17" s="67" t="s">
        <v>524</v>
      </c>
      <c r="D17" s="67" t="s">
        <v>447</v>
      </c>
    </row>
    <row r="18" spans="1:4" x14ac:dyDescent="0.25">
      <c r="A18" s="65" t="s">
        <v>424</v>
      </c>
      <c r="B18" s="64" t="s">
        <v>501</v>
      </c>
      <c r="C18" s="65" t="s">
        <v>525</v>
      </c>
      <c r="D18" s="65" t="s">
        <v>425</v>
      </c>
    </row>
    <row r="19" spans="1:4" x14ac:dyDescent="0.25">
      <c r="A19" s="67" t="s">
        <v>426</v>
      </c>
      <c r="B19" s="66" t="s">
        <v>502</v>
      </c>
      <c r="C19" s="67" t="s">
        <v>526</v>
      </c>
      <c r="D19" s="67" t="s">
        <v>427</v>
      </c>
    </row>
    <row r="20" spans="1:4" x14ac:dyDescent="0.25">
      <c r="A20" s="65" t="s">
        <v>428</v>
      </c>
      <c r="B20" s="64" t="s">
        <v>503</v>
      </c>
      <c r="C20" s="65" t="s">
        <v>527</v>
      </c>
      <c r="D20" s="65" t="s">
        <v>429</v>
      </c>
    </row>
    <row r="21" spans="1:4" x14ac:dyDescent="0.25">
      <c r="A21" s="67" t="s">
        <v>430</v>
      </c>
      <c r="B21" s="66" t="s">
        <v>504</v>
      </c>
      <c r="C21" s="67" t="s">
        <v>528</v>
      </c>
      <c r="D21" s="67" t="s">
        <v>431</v>
      </c>
    </row>
    <row r="22" spans="1:4" x14ac:dyDescent="0.25">
      <c r="A22" s="65" t="s">
        <v>436</v>
      </c>
      <c r="B22" s="64" t="s">
        <v>505</v>
      </c>
      <c r="C22" s="65" t="s">
        <v>529</v>
      </c>
      <c r="D22" s="65" t="s">
        <v>437</v>
      </c>
    </row>
    <row r="23" spans="1:4" x14ac:dyDescent="0.25">
      <c r="A23" s="67" t="s">
        <v>438</v>
      </c>
      <c r="B23" s="66" t="s">
        <v>506</v>
      </c>
      <c r="C23" s="67" t="s">
        <v>530</v>
      </c>
      <c r="D23" s="67" t="s">
        <v>439</v>
      </c>
    </row>
    <row r="24" spans="1:4" x14ac:dyDescent="0.25">
      <c r="A24" s="65" t="s">
        <v>416</v>
      </c>
      <c r="B24" s="64" t="s">
        <v>507</v>
      </c>
      <c r="C24" s="65" t="s">
        <v>531</v>
      </c>
      <c r="D24" s="65" t="s">
        <v>417</v>
      </c>
    </row>
    <row r="25" spans="1:4" x14ac:dyDescent="0.25">
      <c r="A25" s="67" t="s">
        <v>418</v>
      </c>
      <c r="B25" s="66" t="s">
        <v>508</v>
      </c>
      <c r="C25" s="67" t="s">
        <v>532</v>
      </c>
      <c r="D25" s="67" t="s">
        <v>419</v>
      </c>
    </row>
    <row r="26" spans="1:4" x14ac:dyDescent="0.25">
      <c r="A26" s="65" t="s">
        <v>140</v>
      </c>
      <c r="B26" s="64" t="s">
        <v>139</v>
      </c>
      <c r="C26" s="71" t="s">
        <v>323</v>
      </c>
      <c r="D26" s="65" t="s">
        <v>259</v>
      </c>
    </row>
    <row r="27" spans="1:4" x14ac:dyDescent="0.25">
      <c r="A27" s="65" t="s">
        <v>450</v>
      </c>
      <c r="B27" s="64">
        <v>36708</v>
      </c>
      <c r="C27" s="71" t="s">
        <v>471</v>
      </c>
      <c r="D27" s="65" t="s">
        <v>466</v>
      </c>
    </row>
    <row r="28" spans="1:4" x14ac:dyDescent="0.25">
      <c r="A28" s="67" t="s">
        <v>142</v>
      </c>
      <c r="B28" s="66" t="s">
        <v>141</v>
      </c>
      <c r="C28" s="72" t="s">
        <v>324</v>
      </c>
      <c r="D28" s="67" t="s">
        <v>260</v>
      </c>
    </row>
    <row r="29" spans="1:4" x14ac:dyDescent="0.25">
      <c r="A29" s="67" t="s">
        <v>453</v>
      </c>
      <c r="B29" s="66">
        <v>36711</v>
      </c>
      <c r="C29" s="72" t="s">
        <v>474</v>
      </c>
      <c r="D29" s="67" t="s">
        <v>466</v>
      </c>
    </row>
    <row r="30" spans="1:4" x14ac:dyDescent="0.25">
      <c r="A30" s="65" t="s">
        <v>152</v>
      </c>
      <c r="B30" s="64" t="s">
        <v>151</v>
      </c>
      <c r="C30" s="71" t="s">
        <v>329</v>
      </c>
      <c r="D30" s="65" t="s">
        <v>265</v>
      </c>
    </row>
    <row r="31" spans="1:4" x14ac:dyDescent="0.25">
      <c r="A31" s="65" t="s">
        <v>456</v>
      </c>
      <c r="B31" s="64">
        <v>36714</v>
      </c>
      <c r="C31" s="71" t="s">
        <v>477</v>
      </c>
      <c r="D31" s="65" t="s">
        <v>467</v>
      </c>
    </row>
    <row r="32" spans="1:4" x14ac:dyDescent="0.25">
      <c r="A32" s="67" t="s">
        <v>154</v>
      </c>
      <c r="B32" s="66" t="s">
        <v>153</v>
      </c>
      <c r="C32" s="72" t="s">
        <v>330</v>
      </c>
      <c r="D32" s="67" t="s">
        <v>266</v>
      </c>
    </row>
    <row r="33" spans="1:4" x14ac:dyDescent="0.25">
      <c r="A33" s="67" t="s">
        <v>459</v>
      </c>
      <c r="B33" s="66">
        <v>36717</v>
      </c>
      <c r="C33" s="72" t="s">
        <v>480</v>
      </c>
      <c r="D33" s="67" t="s">
        <v>467</v>
      </c>
    </row>
    <row r="34" spans="1:4" x14ac:dyDescent="0.25">
      <c r="A34" s="65" t="s">
        <v>144</v>
      </c>
      <c r="B34" s="64" t="s">
        <v>143</v>
      </c>
      <c r="C34" s="71" t="s">
        <v>325</v>
      </c>
      <c r="D34" s="65" t="s">
        <v>261</v>
      </c>
    </row>
    <row r="35" spans="1:4" x14ac:dyDescent="0.25">
      <c r="A35" s="67" t="s">
        <v>451</v>
      </c>
      <c r="B35" s="66">
        <v>36709</v>
      </c>
      <c r="C35" s="72" t="s">
        <v>472</v>
      </c>
      <c r="D35" s="67" t="s">
        <v>466</v>
      </c>
    </row>
    <row r="36" spans="1:4" x14ac:dyDescent="0.25">
      <c r="A36" s="67" t="s">
        <v>146</v>
      </c>
      <c r="B36" s="66" t="s">
        <v>145</v>
      </c>
      <c r="C36" s="72" t="s">
        <v>326</v>
      </c>
      <c r="D36" s="67" t="s">
        <v>262</v>
      </c>
    </row>
    <row r="37" spans="1:4" x14ac:dyDescent="0.25">
      <c r="A37" s="65" t="s">
        <v>454</v>
      </c>
      <c r="B37" s="64">
        <v>36712</v>
      </c>
      <c r="C37" s="71" t="s">
        <v>475</v>
      </c>
      <c r="D37" s="65" t="s">
        <v>466</v>
      </c>
    </row>
    <row r="38" spans="1:4" x14ac:dyDescent="0.25">
      <c r="A38" s="65" t="s">
        <v>156</v>
      </c>
      <c r="B38" s="64" t="s">
        <v>155</v>
      </c>
      <c r="C38" s="71" t="s">
        <v>331</v>
      </c>
      <c r="D38" s="65" t="s">
        <v>267</v>
      </c>
    </row>
    <row r="39" spans="1:4" x14ac:dyDescent="0.25">
      <c r="A39" s="67" t="s">
        <v>457</v>
      </c>
      <c r="B39" s="66">
        <v>36715</v>
      </c>
      <c r="C39" s="72" t="s">
        <v>478</v>
      </c>
      <c r="D39" s="67" t="s">
        <v>467</v>
      </c>
    </row>
    <row r="40" spans="1:4" x14ac:dyDescent="0.25">
      <c r="A40" s="67" t="s">
        <v>158</v>
      </c>
      <c r="B40" s="66" t="s">
        <v>157</v>
      </c>
      <c r="C40" s="72" t="s">
        <v>332</v>
      </c>
      <c r="D40" s="67" t="s">
        <v>268</v>
      </c>
    </row>
    <row r="41" spans="1:4" x14ac:dyDescent="0.25">
      <c r="A41" s="65" t="s">
        <v>460</v>
      </c>
      <c r="B41" s="64">
        <v>36718</v>
      </c>
      <c r="C41" s="71" t="s">
        <v>481</v>
      </c>
      <c r="D41" s="65" t="s">
        <v>467</v>
      </c>
    </row>
    <row r="42" spans="1:4" x14ac:dyDescent="0.25">
      <c r="A42" s="65" t="s">
        <v>148</v>
      </c>
      <c r="B42" s="64" t="s">
        <v>147</v>
      </c>
      <c r="C42" s="71" t="s">
        <v>327</v>
      </c>
      <c r="D42" s="65" t="s">
        <v>263</v>
      </c>
    </row>
    <row r="43" spans="1:4" x14ac:dyDescent="0.25">
      <c r="A43" s="65" t="s">
        <v>452</v>
      </c>
      <c r="B43" s="64">
        <v>36710</v>
      </c>
      <c r="C43" s="71" t="s">
        <v>473</v>
      </c>
      <c r="D43" s="65" t="s">
        <v>466</v>
      </c>
    </row>
    <row r="44" spans="1:4" x14ac:dyDescent="0.25">
      <c r="A44" s="67" t="s">
        <v>150</v>
      </c>
      <c r="B44" s="66" t="s">
        <v>149</v>
      </c>
      <c r="C44" s="72" t="s">
        <v>328</v>
      </c>
      <c r="D44" s="67" t="s">
        <v>264</v>
      </c>
    </row>
    <row r="45" spans="1:4" x14ac:dyDescent="0.25">
      <c r="A45" s="67" t="s">
        <v>455</v>
      </c>
      <c r="B45" s="66">
        <v>36713</v>
      </c>
      <c r="C45" s="72" t="s">
        <v>476</v>
      </c>
      <c r="D45" s="67" t="s">
        <v>466</v>
      </c>
    </row>
    <row r="46" spans="1:4" x14ac:dyDescent="0.25">
      <c r="A46" s="65" t="s">
        <v>160</v>
      </c>
      <c r="B46" s="64" t="s">
        <v>159</v>
      </c>
      <c r="C46" s="71" t="s">
        <v>333</v>
      </c>
      <c r="D46" s="65" t="s">
        <v>269</v>
      </c>
    </row>
    <row r="47" spans="1:4" x14ac:dyDescent="0.25">
      <c r="A47" s="65" t="s">
        <v>458</v>
      </c>
      <c r="B47" s="64">
        <v>36716</v>
      </c>
      <c r="C47" s="71" t="s">
        <v>479</v>
      </c>
      <c r="D47" s="65" t="s">
        <v>467</v>
      </c>
    </row>
    <row r="48" spans="1:4" x14ac:dyDescent="0.25">
      <c r="A48" s="67" t="s">
        <v>162</v>
      </c>
      <c r="B48" s="66" t="s">
        <v>161</v>
      </c>
      <c r="C48" s="72" t="s">
        <v>334</v>
      </c>
      <c r="D48" s="67" t="s">
        <v>270</v>
      </c>
    </row>
    <row r="49" spans="1:4" x14ac:dyDescent="0.25">
      <c r="A49" s="67" t="s">
        <v>461</v>
      </c>
      <c r="B49" s="66">
        <v>36719</v>
      </c>
      <c r="C49" s="72" t="s">
        <v>482</v>
      </c>
      <c r="D49" s="67" t="s">
        <v>467</v>
      </c>
    </row>
    <row r="50" spans="1:4" x14ac:dyDescent="0.25">
      <c r="A50" s="65" t="s">
        <v>176</v>
      </c>
      <c r="B50" s="64" t="s">
        <v>175</v>
      </c>
      <c r="C50" s="71" t="s">
        <v>341</v>
      </c>
      <c r="D50" s="65" t="s">
        <v>277</v>
      </c>
    </row>
    <row r="51" spans="1:4" x14ac:dyDescent="0.25">
      <c r="A51" s="67" t="s">
        <v>178</v>
      </c>
      <c r="B51" s="66" t="s">
        <v>177</v>
      </c>
      <c r="C51" s="72" t="s">
        <v>342</v>
      </c>
      <c r="D51" s="67" t="s">
        <v>278</v>
      </c>
    </row>
    <row r="52" spans="1:4" x14ac:dyDescent="0.25">
      <c r="A52" s="65" t="s">
        <v>180</v>
      </c>
      <c r="B52" s="64" t="s">
        <v>179</v>
      </c>
      <c r="C52" s="71" t="s">
        <v>343</v>
      </c>
      <c r="D52" s="65" t="s">
        <v>279</v>
      </c>
    </row>
    <row r="53" spans="1:4" x14ac:dyDescent="0.25">
      <c r="A53" s="67" t="s">
        <v>182</v>
      </c>
      <c r="B53" s="66" t="s">
        <v>181</v>
      </c>
      <c r="C53" s="72" t="s">
        <v>344</v>
      </c>
      <c r="D53" s="67" t="s">
        <v>280</v>
      </c>
    </row>
    <row r="54" spans="1:4" x14ac:dyDescent="0.25">
      <c r="A54" s="65" t="s">
        <v>184</v>
      </c>
      <c r="B54" s="64" t="s">
        <v>183</v>
      </c>
      <c r="C54" s="71" t="s">
        <v>345</v>
      </c>
      <c r="D54" s="65" t="s">
        <v>281</v>
      </c>
    </row>
    <row r="55" spans="1:4" x14ac:dyDescent="0.25">
      <c r="A55" s="67" t="s">
        <v>186</v>
      </c>
      <c r="B55" s="66" t="s">
        <v>185</v>
      </c>
      <c r="C55" s="72" t="s">
        <v>346</v>
      </c>
      <c r="D55" s="67" t="s">
        <v>282</v>
      </c>
    </row>
    <row r="56" spans="1:4" x14ac:dyDescent="0.25">
      <c r="A56" s="65" t="s">
        <v>212</v>
      </c>
      <c r="B56" s="64" t="s">
        <v>211</v>
      </c>
      <c r="C56" s="71" t="s">
        <v>359</v>
      </c>
      <c r="D56" s="65" t="s">
        <v>295</v>
      </c>
    </row>
    <row r="57" spans="1:4" x14ac:dyDescent="0.25">
      <c r="A57" s="67" t="s">
        <v>214</v>
      </c>
      <c r="B57" s="66" t="s">
        <v>213</v>
      </c>
      <c r="C57" s="72" t="s">
        <v>360</v>
      </c>
      <c r="D57" s="67" t="s">
        <v>296</v>
      </c>
    </row>
    <row r="58" spans="1:4" x14ac:dyDescent="0.25">
      <c r="A58" s="65" t="s">
        <v>216</v>
      </c>
      <c r="B58" s="64" t="s">
        <v>215</v>
      </c>
      <c r="C58" s="71" t="s">
        <v>361</v>
      </c>
      <c r="D58" s="65" t="s">
        <v>297</v>
      </c>
    </row>
    <row r="59" spans="1:4" x14ac:dyDescent="0.25">
      <c r="A59" s="67" t="s">
        <v>218</v>
      </c>
      <c r="B59" s="66" t="s">
        <v>217</v>
      </c>
      <c r="C59" s="72" t="s">
        <v>362</v>
      </c>
      <c r="D59" s="67" t="s">
        <v>298</v>
      </c>
    </row>
    <row r="60" spans="1:4" x14ac:dyDescent="0.25">
      <c r="A60" s="65" t="s">
        <v>220</v>
      </c>
      <c r="B60" s="64" t="s">
        <v>219</v>
      </c>
      <c r="C60" s="71" t="s">
        <v>363</v>
      </c>
      <c r="D60" s="65" t="s">
        <v>299</v>
      </c>
    </row>
    <row r="61" spans="1:4" x14ac:dyDescent="0.25">
      <c r="A61" s="67" t="s">
        <v>222</v>
      </c>
      <c r="B61" s="66" t="s">
        <v>221</v>
      </c>
      <c r="C61" s="72" t="s">
        <v>364</v>
      </c>
      <c r="D61" s="67" t="s">
        <v>300</v>
      </c>
    </row>
    <row r="62" spans="1:4" x14ac:dyDescent="0.25">
      <c r="A62" s="65" t="s">
        <v>236</v>
      </c>
      <c r="B62" s="64" t="s">
        <v>235</v>
      </c>
      <c r="C62" s="71" t="s">
        <v>371</v>
      </c>
      <c r="D62" s="65" t="s">
        <v>307</v>
      </c>
    </row>
    <row r="63" spans="1:4" x14ac:dyDescent="0.25">
      <c r="A63" s="67" t="s">
        <v>238</v>
      </c>
      <c r="B63" s="66" t="s">
        <v>237</v>
      </c>
      <c r="C63" s="72" t="s">
        <v>372</v>
      </c>
      <c r="D63" s="67" t="s">
        <v>308</v>
      </c>
    </row>
    <row r="64" spans="1:4" x14ac:dyDescent="0.25">
      <c r="A64" s="65" t="s">
        <v>240</v>
      </c>
      <c r="B64" s="64" t="s">
        <v>239</v>
      </c>
      <c r="C64" s="71" t="s">
        <v>373</v>
      </c>
      <c r="D64" s="65" t="s">
        <v>309</v>
      </c>
    </row>
    <row r="65" spans="1:4" x14ac:dyDescent="0.25">
      <c r="A65" s="67" t="s">
        <v>242</v>
      </c>
      <c r="B65" s="66" t="s">
        <v>241</v>
      </c>
      <c r="C65" s="72" t="s">
        <v>374</v>
      </c>
      <c r="D65" s="67" t="s">
        <v>310</v>
      </c>
    </row>
    <row r="66" spans="1:4" x14ac:dyDescent="0.25">
      <c r="A66" s="65" t="s">
        <v>244</v>
      </c>
      <c r="B66" s="64" t="s">
        <v>243</v>
      </c>
      <c r="C66" s="71" t="s">
        <v>375</v>
      </c>
      <c r="D66" s="65" t="s">
        <v>311</v>
      </c>
    </row>
    <row r="67" spans="1:4" x14ac:dyDescent="0.25">
      <c r="A67" s="67" t="s">
        <v>246</v>
      </c>
      <c r="B67" s="66" t="s">
        <v>245</v>
      </c>
      <c r="C67" s="72" t="s">
        <v>376</v>
      </c>
      <c r="D67" s="67" t="s">
        <v>312</v>
      </c>
    </row>
    <row r="68" spans="1:4" x14ac:dyDescent="0.25">
      <c r="A68" s="65" t="s">
        <v>248</v>
      </c>
      <c r="B68" s="64" t="s">
        <v>247</v>
      </c>
      <c r="C68" s="71" t="s">
        <v>377</v>
      </c>
      <c r="D68" s="65" t="s">
        <v>313</v>
      </c>
    </row>
    <row r="69" spans="1:4" x14ac:dyDescent="0.25">
      <c r="A69" s="67" t="s">
        <v>250</v>
      </c>
      <c r="B69" s="66" t="s">
        <v>249</v>
      </c>
      <c r="C69" s="72" t="s">
        <v>378</v>
      </c>
      <c r="D69" s="67" t="s">
        <v>314</v>
      </c>
    </row>
    <row r="70" spans="1:4" x14ac:dyDescent="0.25">
      <c r="A70" s="65" t="s">
        <v>252</v>
      </c>
      <c r="B70" s="64" t="s">
        <v>251</v>
      </c>
      <c r="C70" s="71" t="s">
        <v>379</v>
      </c>
      <c r="D70" s="65" t="s">
        <v>315</v>
      </c>
    </row>
    <row r="71" spans="1:4" x14ac:dyDescent="0.25">
      <c r="A71" s="65" t="s">
        <v>254</v>
      </c>
      <c r="B71" s="64" t="s">
        <v>253</v>
      </c>
      <c r="C71" s="71" t="s">
        <v>380</v>
      </c>
      <c r="D71" s="65" t="s">
        <v>316</v>
      </c>
    </row>
    <row r="72" spans="1:4" x14ac:dyDescent="0.25">
      <c r="A72" s="67" t="s">
        <v>256</v>
      </c>
      <c r="B72" s="66" t="s">
        <v>255</v>
      </c>
      <c r="C72" s="72" t="s">
        <v>381</v>
      </c>
      <c r="D72" s="67" t="s">
        <v>317</v>
      </c>
    </row>
    <row r="73" spans="1:4" x14ac:dyDescent="0.25">
      <c r="A73" s="65" t="s">
        <v>258</v>
      </c>
      <c r="B73" s="64" t="s">
        <v>257</v>
      </c>
      <c r="C73" s="71" t="s">
        <v>382</v>
      </c>
      <c r="D73" s="65" t="s">
        <v>318</v>
      </c>
    </row>
    <row r="74" spans="1:4" x14ac:dyDescent="0.25">
      <c r="A74" s="65" t="s">
        <v>188</v>
      </c>
      <c r="B74" s="64" t="s">
        <v>187</v>
      </c>
      <c r="C74" s="71" t="s">
        <v>347</v>
      </c>
      <c r="D74" s="65" t="s">
        <v>283</v>
      </c>
    </row>
    <row r="75" spans="1:4" x14ac:dyDescent="0.25">
      <c r="A75" s="67" t="s">
        <v>190</v>
      </c>
      <c r="B75" s="66" t="s">
        <v>189</v>
      </c>
      <c r="C75" s="72" t="s">
        <v>348</v>
      </c>
      <c r="D75" s="67" t="s">
        <v>284</v>
      </c>
    </row>
    <row r="76" spans="1:4" x14ac:dyDescent="0.25">
      <c r="A76" s="65" t="s">
        <v>192</v>
      </c>
      <c r="B76" s="64" t="s">
        <v>191</v>
      </c>
      <c r="C76" s="71" t="s">
        <v>349</v>
      </c>
      <c r="D76" s="65" t="s">
        <v>285</v>
      </c>
    </row>
    <row r="77" spans="1:4" x14ac:dyDescent="0.25">
      <c r="A77" s="67" t="s">
        <v>194</v>
      </c>
      <c r="B77" s="66" t="s">
        <v>193</v>
      </c>
      <c r="C77" s="72" t="s">
        <v>350</v>
      </c>
      <c r="D77" s="67" t="s">
        <v>286</v>
      </c>
    </row>
    <row r="78" spans="1:4" x14ac:dyDescent="0.25">
      <c r="A78" s="65" t="s">
        <v>196</v>
      </c>
      <c r="B78" s="64" t="s">
        <v>195</v>
      </c>
      <c r="C78" s="71" t="s">
        <v>351</v>
      </c>
      <c r="D78" s="65" t="s">
        <v>287</v>
      </c>
    </row>
    <row r="79" spans="1:4" x14ac:dyDescent="0.25">
      <c r="A79" s="67" t="s">
        <v>198</v>
      </c>
      <c r="B79" s="66" t="s">
        <v>197</v>
      </c>
      <c r="C79" s="72" t="s">
        <v>352</v>
      </c>
      <c r="D79" s="67" t="s">
        <v>288</v>
      </c>
    </row>
    <row r="80" spans="1:4" x14ac:dyDescent="0.25">
      <c r="A80" s="65" t="s">
        <v>200</v>
      </c>
      <c r="B80" s="64" t="s">
        <v>199</v>
      </c>
      <c r="C80" s="71" t="s">
        <v>353</v>
      </c>
      <c r="D80" s="65" t="s">
        <v>289</v>
      </c>
    </row>
    <row r="81" spans="1:4" x14ac:dyDescent="0.25">
      <c r="A81" s="67" t="s">
        <v>202</v>
      </c>
      <c r="B81" s="66" t="s">
        <v>201</v>
      </c>
      <c r="C81" s="72" t="s">
        <v>354</v>
      </c>
      <c r="D81" s="67" t="s">
        <v>290</v>
      </c>
    </row>
    <row r="82" spans="1:4" x14ac:dyDescent="0.25">
      <c r="A82" s="65" t="s">
        <v>204</v>
      </c>
      <c r="B82" s="64" t="s">
        <v>203</v>
      </c>
      <c r="C82" s="71" t="s">
        <v>355</v>
      </c>
      <c r="D82" s="65" t="s">
        <v>291</v>
      </c>
    </row>
    <row r="83" spans="1:4" x14ac:dyDescent="0.25">
      <c r="A83" s="67" t="s">
        <v>206</v>
      </c>
      <c r="B83" s="66" t="s">
        <v>205</v>
      </c>
      <c r="C83" s="72" t="s">
        <v>356</v>
      </c>
      <c r="D83" s="67" t="s">
        <v>292</v>
      </c>
    </row>
    <row r="84" spans="1:4" x14ac:dyDescent="0.25">
      <c r="A84" s="65" t="s">
        <v>208</v>
      </c>
      <c r="B84" s="64" t="s">
        <v>207</v>
      </c>
      <c r="C84" s="71" t="s">
        <v>357</v>
      </c>
      <c r="D84" s="65" t="s">
        <v>293</v>
      </c>
    </row>
    <row r="85" spans="1:4" x14ac:dyDescent="0.25">
      <c r="A85" s="67" t="s">
        <v>210</v>
      </c>
      <c r="B85" s="66" t="s">
        <v>209</v>
      </c>
      <c r="C85" s="72" t="s">
        <v>358</v>
      </c>
      <c r="D85" s="67" t="s">
        <v>294</v>
      </c>
    </row>
    <row r="86" spans="1:4" x14ac:dyDescent="0.25">
      <c r="A86" s="65" t="s">
        <v>224</v>
      </c>
      <c r="B86" s="64" t="s">
        <v>223</v>
      </c>
      <c r="C86" s="71" t="s">
        <v>365</v>
      </c>
      <c r="D86" s="65" t="s">
        <v>301</v>
      </c>
    </row>
    <row r="87" spans="1:4" x14ac:dyDescent="0.25">
      <c r="A87" s="67" t="s">
        <v>226</v>
      </c>
      <c r="B87" s="66" t="s">
        <v>225</v>
      </c>
      <c r="C87" s="72" t="s">
        <v>366</v>
      </c>
      <c r="D87" s="67" t="s">
        <v>302</v>
      </c>
    </row>
    <row r="88" spans="1:4" x14ac:dyDescent="0.25">
      <c r="A88" s="65" t="s">
        <v>228</v>
      </c>
      <c r="B88" s="64" t="s">
        <v>227</v>
      </c>
      <c r="C88" s="71" t="s">
        <v>367</v>
      </c>
      <c r="D88" s="65" t="s">
        <v>303</v>
      </c>
    </row>
    <row r="89" spans="1:4" x14ac:dyDescent="0.25">
      <c r="A89" s="67" t="s">
        <v>230</v>
      </c>
      <c r="B89" s="66" t="s">
        <v>229</v>
      </c>
      <c r="C89" s="72" t="s">
        <v>368</v>
      </c>
      <c r="D89" s="67" t="s">
        <v>304</v>
      </c>
    </row>
    <row r="90" spans="1:4" x14ac:dyDescent="0.25">
      <c r="A90" s="65" t="s">
        <v>232</v>
      </c>
      <c r="B90" s="64" t="s">
        <v>231</v>
      </c>
      <c r="C90" s="71" t="s">
        <v>369</v>
      </c>
      <c r="D90" s="65" t="s">
        <v>305</v>
      </c>
    </row>
    <row r="91" spans="1:4" x14ac:dyDescent="0.25">
      <c r="A91" s="67" t="s">
        <v>234</v>
      </c>
      <c r="B91" s="66" t="s">
        <v>233</v>
      </c>
      <c r="C91" s="72" t="s">
        <v>370</v>
      </c>
      <c r="D91" s="67" t="s">
        <v>306</v>
      </c>
    </row>
    <row r="92" spans="1:4" x14ac:dyDescent="0.25">
      <c r="A92" s="65" t="s">
        <v>164</v>
      </c>
      <c r="B92" s="64" t="s">
        <v>163</v>
      </c>
      <c r="C92" s="71" t="s">
        <v>335</v>
      </c>
      <c r="D92" s="65" t="s">
        <v>271</v>
      </c>
    </row>
    <row r="93" spans="1:4" x14ac:dyDescent="0.25">
      <c r="A93" s="67" t="s">
        <v>166</v>
      </c>
      <c r="B93" s="66" t="s">
        <v>165</v>
      </c>
      <c r="C93" s="72" t="s">
        <v>336</v>
      </c>
      <c r="D93" s="67" t="s">
        <v>272</v>
      </c>
    </row>
    <row r="94" spans="1:4" x14ac:dyDescent="0.25">
      <c r="A94" s="65" t="s">
        <v>168</v>
      </c>
      <c r="B94" s="64" t="s">
        <v>167</v>
      </c>
      <c r="C94" s="71" t="s">
        <v>337</v>
      </c>
      <c r="D94" s="65" t="s">
        <v>273</v>
      </c>
    </row>
    <row r="95" spans="1:4" x14ac:dyDescent="0.25">
      <c r="A95" s="67" t="s">
        <v>170</v>
      </c>
      <c r="B95" s="66" t="s">
        <v>169</v>
      </c>
      <c r="C95" s="72" t="s">
        <v>338</v>
      </c>
      <c r="D95" s="67" t="s">
        <v>274</v>
      </c>
    </row>
    <row r="96" spans="1:4" x14ac:dyDescent="0.25">
      <c r="A96" s="65" t="s">
        <v>172</v>
      </c>
      <c r="B96" s="64" t="s">
        <v>171</v>
      </c>
      <c r="C96" s="71" t="s">
        <v>339</v>
      </c>
      <c r="D96" s="65" t="s">
        <v>275</v>
      </c>
    </row>
    <row r="97" spans="1:4" x14ac:dyDescent="0.25">
      <c r="A97" s="67" t="s">
        <v>174</v>
      </c>
      <c r="B97" s="66" t="s">
        <v>173</v>
      </c>
      <c r="C97" s="72" t="s">
        <v>340</v>
      </c>
      <c r="D97" s="67" t="s">
        <v>276</v>
      </c>
    </row>
  </sheetData>
  <sortState xmlns:xlrd2="http://schemas.microsoft.com/office/spreadsheetml/2017/richdata2" ref="A2:D97">
    <sortCondition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V30"/>
  <sheetViews>
    <sheetView workbookViewId="0">
      <selection activeCell="Q19" sqref="Q19"/>
    </sheetView>
  </sheetViews>
  <sheetFormatPr defaultRowHeight="15" x14ac:dyDescent="0.25"/>
  <cols>
    <col min="2" max="2" width="6.5703125" bestFit="1" customWidth="1"/>
    <col min="3" max="3" width="8" bestFit="1" customWidth="1"/>
    <col min="4" max="4" width="7.7109375" bestFit="1" customWidth="1"/>
    <col min="5" max="5" width="7.140625" bestFit="1" customWidth="1"/>
    <col min="6" max="6" width="8.28515625" bestFit="1" customWidth="1"/>
    <col min="7" max="7" width="7.85546875" bestFit="1" customWidth="1"/>
    <col min="8" max="8" width="8" bestFit="1" customWidth="1"/>
    <col min="11" max="11" width="7.85546875" bestFit="1" customWidth="1"/>
    <col min="12" max="12" width="8" bestFit="1" customWidth="1"/>
    <col min="15" max="15" width="7.85546875" bestFit="1" customWidth="1"/>
    <col min="16" max="16" width="8" bestFit="1" customWidth="1"/>
    <col min="19" max="19" width="7.85546875" bestFit="1" customWidth="1"/>
    <col min="20" max="20" width="8" bestFit="1" customWidth="1"/>
  </cols>
  <sheetData>
    <row r="1" spans="1:22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</row>
    <row r="2" spans="1:22" x14ac:dyDescent="0.25">
      <c r="C2" s="205" t="s">
        <v>395</v>
      </c>
      <c r="D2" s="206"/>
      <c r="E2" s="207"/>
      <c r="G2" s="203" t="s">
        <v>396</v>
      </c>
      <c r="H2" s="203"/>
      <c r="I2" s="203"/>
      <c r="J2" s="203"/>
      <c r="K2" s="204" t="s">
        <v>387</v>
      </c>
      <c r="L2" s="204"/>
      <c r="M2" s="204"/>
      <c r="N2" s="204"/>
      <c r="O2" s="203" t="s">
        <v>386</v>
      </c>
      <c r="P2" s="203"/>
      <c r="Q2" s="203"/>
      <c r="R2" s="203"/>
      <c r="S2" s="204" t="s">
        <v>407</v>
      </c>
      <c r="T2" s="204"/>
      <c r="U2" s="204"/>
      <c r="V2" s="204"/>
    </row>
    <row r="3" spans="1:22" ht="90" x14ac:dyDescent="0.25">
      <c r="B3" s="84" t="s">
        <v>397</v>
      </c>
      <c r="C3" s="84" t="s">
        <v>398</v>
      </c>
      <c r="D3" s="84" t="s">
        <v>399</v>
      </c>
      <c r="E3" s="84" t="s">
        <v>400</v>
      </c>
      <c r="F3" s="84" t="s">
        <v>401</v>
      </c>
      <c r="G3" s="85" t="s">
        <v>402</v>
      </c>
      <c r="H3" s="85" t="s">
        <v>403</v>
      </c>
      <c r="I3" s="85" t="s">
        <v>404</v>
      </c>
      <c r="J3" s="85" t="s">
        <v>405</v>
      </c>
      <c r="K3" s="86" t="s">
        <v>402</v>
      </c>
      <c r="L3" s="86" t="s">
        <v>403</v>
      </c>
      <c r="M3" s="86" t="s">
        <v>404</v>
      </c>
      <c r="N3" s="86" t="s">
        <v>405</v>
      </c>
      <c r="O3" s="85" t="s">
        <v>402</v>
      </c>
      <c r="P3" s="85" t="s">
        <v>403</v>
      </c>
      <c r="Q3" s="85" t="s">
        <v>404</v>
      </c>
      <c r="R3" s="85" t="s">
        <v>405</v>
      </c>
      <c r="S3" s="86" t="s">
        <v>402</v>
      </c>
      <c r="T3" s="86" t="s">
        <v>403</v>
      </c>
      <c r="U3" s="86" t="s">
        <v>404</v>
      </c>
      <c r="V3" s="86" t="s">
        <v>405</v>
      </c>
    </row>
    <row r="4" spans="1:22" x14ac:dyDescent="0.25">
      <c r="A4" s="3"/>
      <c r="B4" s="92">
        <v>0.75</v>
      </c>
      <c r="C4" s="103">
        <v>1000</v>
      </c>
      <c r="D4" s="103">
        <f t="shared" ref="D4:D15" si="0">C4*0.005</f>
        <v>5</v>
      </c>
      <c r="E4" s="103">
        <v>1</v>
      </c>
      <c r="F4" s="103">
        <f t="shared" ref="F4:F15" si="1">(E4)*(3600/C4)</f>
        <v>3.6</v>
      </c>
      <c r="G4" s="108">
        <v>3314</v>
      </c>
      <c r="H4" s="111">
        <v>2116</v>
      </c>
      <c r="I4" s="109" t="s">
        <v>388</v>
      </c>
      <c r="J4" s="109" t="s">
        <v>388</v>
      </c>
      <c r="K4" s="88">
        <v>2134</v>
      </c>
      <c r="L4" s="88">
        <v>2141</v>
      </c>
      <c r="M4" s="87" t="s">
        <v>388</v>
      </c>
      <c r="N4" s="87" t="s">
        <v>388</v>
      </c>
      <c r="O4" s="108">
        <v>2159</v>
      </c>
      <c r="P4" s="108">
        <v>2166</v>
      </c>
      <c r="Q4" s="109" t="s">
        <v>388</v>
      </c>
      <c r="R4" s="109" t="s">
        <v>388</v>
      </c>
      <c r="S4" s="88">
        <v>2187</v>
      </c>
      <c r="T4" s="88">
        <v>2194</v>
      </c>
      <c r="U4" s="87" t="s">
        <v>388</v>
      </c>
      <c r="V4" s="87" t="s">
        <v>388</v>
      </c>
    </row>
    <row r="5" spans="1:22" x14ac:dyDescent="0.25">
      <c r="A5" s="3"/>
      <c r="B5" s="113">
        <v>1</v>
      </c>
      <c r="C5" s="103">
        <v>2000</v>
      </c>
      <c r="D5" s="103">
        <f t="shared" si="0"/>
        <v>10</v>
      </c>
      <c r="E5" s="103">
        <v>10</v>
      </c>
      <c r="F5" s="103">
        <f t="shared" si="1"/>
        <v>18</v>
      </c>
      <c r="G5" s="108">
        <v>3315</v>
      </c>
      <c r="H5" s="111">
        <v>2117</v>
      </c>
      <c r="I5" s="109" t="s">
        <v>388</v>
      </c>
      <c r="J5" s="109" t="s">
        <v>388</v>
      </c>
      <c r="K5" s="88">
        <v>2135</v>
      </c>
      <c r="L5" s="88">
        <v>2142</v>
      </c>
      <c r="M5" s="87" t="s">
        <v>388</v>
      </c>
      <c r="N5" s="87" t="s">
        <v>388</v>
      </c>
      <c r="O5" s="108">
        <v>2160</v>
      </c>
      <c r="P5" s="108">
        <v>2167</v>
      </c>
      <c r="Q5" s="109" t="s">
        <v>388</v>
      </c>
      <c r="R5" s="109" t="s">
        <v>388</v>
      </c>
      <c r="S5" s="88">
        <v>2188</v>
      </c>
      <c r="T5" s="88">
        <v>2195</v>
      </c>
      <c r="U5" s="87" t="s">
        <v>388</v>
      </c>
      <c r="V5" s="87" t="s">
        <v>388</v>
      </c>
    </row>
    <row r="6" spans="1:22" x14ac:dyDescent="0.25">
      <c r="A6" s="3"/>
      <c r="B6" s="92">
        <v>1.25</v>
      </c>
      <c r="C6" s="103">
        <v>3000</v>
      </c>
      <c r="D6" s="103">
        <f t="shared" si="0"/>
        <v>15</v>
      </c>
      <c r="E6" s="103">
        <v>10</v>
      </c>
      <c r="F6" s="103">
        <f t="shared" si="1"/>
        <v>12</v>
      </c>
      <c r="G6" s="108">
        <v>3316</v>
      </c>
      <c r="H6" s="111">
        <v>2118</v>
      </c>
      <c r="I6" s="109" t="s">
        <v>388</v>
      </c>
      <c r="J6" s="109" t="s">
        <v>388</v>
      </c>
      <c r="K6" s="88">
        <v>2136</v>
      </c>
      <c r="L6" s="88">
        <v>2143</v>
      </c>
      <c r="M6" s="87" t="s">
        <v>388</v>
      </c>
      <c r="N6" s="87" t="s">
        <v>388</v>
      </c>
      <c r="O6" s="108">
        <v>2161</v>
      </c>
      <c r="P6" s="108">
        <v>2168</v>
      </c>
      <c r="Q6" s="109" t="s">
        <v>388</v>
      </c>
      <c r="R6" s="109" t="s">
        <v>388</v>
      </c>
      <c r="S6" s="88">
        <v>2189</v>
      </c>
      <c r="T6" s="88">
        <v>2196</v>
      </c>
      <c r="U6" s="87" t="s">
        <v>388</v>
      </c>
      <c r="V6" s="87" t="s">
        <v>388</v>
      </c>
    </row>
    <row r="7" spans="1:22" x14ac:dyDescent="0.25">
      <c r="A7" s="3"/>
      <c r="B7" s="113">
        <v>1.5</v>
      </c>
      <c r="C7" s="103">
        <v>4000</v>
      </c>
      <c r="D7" s="103">
        <f t="shared" si="0"/>
        <v>20</v>
      </c>
      <c r="E7" s="103">
        <v>10</v>
      </c>
      <c r="F7" s="103">
        <f t="shared" si="1"/>
        <v>9</v>
      </c>
      <c r="G7" s="108">
        <v>3317</v>
      </c>
      <c r="H7" s="111">
        <v>2119</v>
      </c>
      <c r="I7" s="111">
        <v>2125</v>
      </c>
      <c r="J7" s="111">
        <v>2212</v>
      </c>
      <c r="K7" s="88">
        <v>2137</v>
      </c>
      <c r="L7" s="88">
        <v>2144</v>
      </c>
      <c r="M7" s="88">
        <v>2150</v>
      </c>
      <c r="N7" s="88">
        <v>2221</v>
      </c>
      <c r="O7" s="108">
        <v>2162</v>
      </c>
      <c r="P7" s="108">
        <v>2171</v>
      </c>
      <c r="Q7" s="108">
        <v>2177</v>
      </c>
      <c r="R7" s="108">
        <v>2230</v>
      </c>
      <c r="S7" s="88">
        <v>2190</v>
      </c>
      <c r="T7" s="88">
        <v>2197</v>
      </c>
      <c r="U7" s="88">
        <v>2203</v>
      </c>
      <c r="V7" s="88">
        <v>2239</v>
      </c>
    </row>
    <row r="8" spans="1:22" x14ac:dyDescent="0.25">
      <c r="A8" s="3"/>
      <c r="B8" s="113">
        <v>2</v>
      </c>
      <c r="C8" s="103">
        <v>7000</v>
      </c>
      <c r="D8" s="103">
        <f t="shared" si="0"/>
        <v>35</v>
      </c>
      <c r="E8" s="103">
        <v>10</v>
      </c>
      <c r="F8" s="106">
        <f t="shared" si="1"/>
        <v>5.1428571428571423</v>
      </c>
      <c r="G8" s="108">
        <v>3318</v>
      </c>
      <c r="H8" s="111">
        <v>2120</v>
      </c>
      <c r="I8" s="111">
        <v>2126</v>
      </c>
      <c r="J8" s="111">
        <v>2213</v>
      </c>
      <c r="K8" s="88">
        <v>2138</v>
      </c>
      <c r="L8" s="88">
        <v>2145</v>
      </c>
      <c r="M8" s="88">
        <v>2151</v>
      </c>
      <c r="N8" s="88">
        <v>2222</v>
      </c>
      <c r="O8" s="108">
        <v>2163</v>
      </c>
      <c r="P8" s="108">
        <v>2172</v>
      </c>
      <c r="Q8" s="108">
        <v>2178</v>
      </c>
      <c r="R8" s="108">
        <v>2231</v>
      </c>
      <c r="S8" s="88">
        <v>2191</v>
      </c>
      <c r="T8" s="88">
        <v>2198</v>
      </c>
      <c r="U8" s="88">
        <v>2204</v>
      </c>
      <c r="V8" s="88">
        <v>2240</v>
      </c>
    </row>
    <row r="9" spans="1:22" x14ac:dyDescent="0.25">
      <c r="A9" s="3"/>
      <c r="B9" s="113">
        <v>2.5</v>
      </c>
      <c r="C9" s="103">
        <v>10000</v>
      </c>
      <c r="D9" s="103">
        <f t="shared" si="0"/>
        <v>50</v>
      </c>
      <c r="E9" s="103">
        <v>10</v>
      </c>
      <c r="F9" s="103">
        <f t="shared" si="1"/>
        <v>3.5999999999999996</v>
      </c>
      <c r="G9" s="108">
        <v>3319</v>
      </c>
      <c r="H9" s="111">
        <v>2121</v>
      </c>
      <c r="I9" s="111">
        <v>2127</v>
      </c>
      <c r="J9" s="111">
        <v>2214</v>
      </c>
      <c r="K9" s="88">
        <v>2139</v>
      </c>
      <c r="L9" s="88">
        <v>2146</v>
      </c>
      <c r="M9" s="88">
        <v>2152</v>
      </c>
      <c r="N9" s="88">
        <v>2223</v>
      </c>
      <c r="O9" s="108">
        <v>2164</v>
      </c>
      <c r="P9" s="108">
        <v>2173</v>
      </c>
      <c r="Q9" s="108">
        <v>2179</v>
      </c>
      <c r="R9" s="108">
        <v>2232</v>
      </c>
      <c r="S9" s="88">
        <v>2192</v>
      </c>
      <c r="T9" s="88">
        <v>2199</v>
      </c>
      <c r="U9" s="88">
        <v>2205</v>
      </c>
      <c r="V9" s="88">
        <v>2241</v>
      </c>
    </row>
    <row r="10" spans="1:22" x14ac:dyDescent="0.25">
      <c r="A10" s="3"/>
      <c r="B10" s="113">
        <v>3</v>
      </c>
      <c r="C10" s="103">
        <v>15000</v>
      </c>
      <c r="D10" s="103">
        <f t="shared" si="0"/>
        <v>75</v>
      </c>
      <c r="E10" s="103">
        <v>10</v>
      </c>
      <c r="F10" s="103">
        <f t="shared" si="1"/>
        <v>2.4</v>
      </c>
      <c r="G10" s="108">
        <v>3320</v>
      </c>
      <c r="H10" s="111">
        <v>2122</v>
      </c>
      <c r="I10" s="111">
        <v>2128</v>
      </c>
      <c r="J10" s="111">
        <v>2215</v>
      </c>
      <c r="K10" s="88">
        <v>2140</v>
      </c>
      <c r="L10" s="88">
        <v>2147</v>
      </c>
      <c r="M10" s="88">
        <v>2153</v>
      </c>
      <c r="N10" s="88">
        <v>2224</v>
      </c>
      <c r="O10" s="108">
        <v>2165</v>
      </c>
      <c r="P10" s="108">
        <v>2174</v>
      </c>
      <c r="Q10" s="108">
        <v>2180</v>
      </c>
      <c r="R10" s="108">
        <v>2233</v>
      </c>
      <c r="S10" s="88">
        <v>2193</v>
      </c>
      <c r="T10" s="88">
        <v>2200</v>
      </c>
      <c r="U10" s="88">
        <v>2206</v>
      </c>
      <c r="V10" s="88">
        <v>2242</v>
      </c>
    </row>
    <row r="11" spans="1:22" x14ac:dyDescent="0.25">
      <c r="A11" s="3"/>
      <c r="B11" s="113">
        <v>4</v>
      </c>
      <c r="C11" s="103">
        <v>25000</v>
      </c>
      <c r="D11" s="103">
        <f t="shared" si="0"/>
        <v>125</v>
      </c>
      <c r="E11" s="103">
        <v>100</v>
      </c>
      <c r="F11" s="103">
        <f t="shared" si="1"/>
        <v>14.399999999999999</v>
      </c>
      <c r="G11" s="109" t="s">
        <v>388</v>
      </c>
      <c r="H11" s="111">
        <v>2123</v>
      </c>
      <c r="I11" s="111">
        <v>2129</v>
      </c>
      <c r="J11" s="111">
        <v>2216</v>
      </c>
      <c r="K11" s="87" t="s">
        <v>388</v>
      </c>
      <c r="L11" s="88">
        <v>2148</v>
      </c>
      <c r="M11" s="88">
        <v>2154</v>
      </c>
      <c r="N11" s="88">
        <v>2225</v>
      </c>
      <c r="O11" s="109" t="s">
        <v>388</v>
      </c>
      <c r="P11" s="108">
        <v>2175</v>
      </c>
      <c r="Q11" s="108">
        <v>2181</v>
      </c>
      <c r="R11" s="108">
        <v>2234</v>
      </c>
      <c r="S11" s="87" t="s">
        <v>388</v>
      </c>
      <c r="T11" s="88">
        <v>2201</v>
      </c>
      <c r="U11" s="88">
        <v>2207</v>
      </c>
      <c r="V11" s="88">
        <v>2243</v>
      </c>
    </row>
    <row r="12" spans="1:22" x14ac:dyDescent="0.25">
      <c r="A12" s="3"/>
      <c r="B12" s="113">
        <v>5</v>
      </c>
      <c r="C12" s="103">
        <v>40000</v>
      </c>
      <c r="D12" s="103">
        <f t="shared" si="0"/>
        <v>200</v>
      </c>
      <c r="E12" s="103">
        <v>100</v>
      </c>
      <c r="F12" s="103">
        <f t="shared" si="1"/>
        <v>9</v>
      </c>
      <c r="G12" s="109" t="s">
        <v>388</v>
      </c>
      <c r="H12" s="109" t="s">
        <v>388</v>
      </c>
      <c r="I12" s="111">
        <v>2130</v>
      </c>
      <c r="J12" s="111">
        <v>2217</v>
      </c>
      <c r="K12" s="87" t="s">
        <v>388</v>
      </c>
      <c r="L12" s="87" t="s">
        <v>388</v>
      </c>
      <c r="M12" s="88">
        <v>2155</v>
      </c>
      <c r="N12" s="88">
        <v>2226</v>
      </c>
      <c r="O12" s="109" t="s">
        <v>388</v>
      </c>
      <c r="P12" s="109" t="s">
        <v>388</v>
      </c>
      <c r="Q12" s="108">
        <v>2183</v>
      </c>
      <c r="R12" s="108">
        <v>2235</v>
      </c>
      <c r="S12" s="87" t="s">
        <v>388</v>
      </c>
      <c r="T12" s="87" t="s">
        <v>388</v>
      </c>
      <c r="U12" s="88">
        <v>2208</v>
      </c>
      <c r="V12" s="88">
        <v>2244</v>
      </c>
    </row>
    <row r="13" spans="1:22" x14ac:dyDescent="0.25">
      <c r="A13" s="3"/>
      <c r="B13" s="113">
        <v>6</v>
      </c>
      <c r="C13" s="103">
        <v>60000</v>
      </c>
      <c r="D13" s="103">
        <f t="shared" si="0"/>
        <v>300</v>
      </c>
      <c r="E13" s="103">
        <v>100</v>
      </c>
      <c r="F13" s="103">
        <f t="shared" si="1"/>
        <v>6</v>
      </c>
      <c r="G13" s="109" t="s">
        <v>388</v>
      </c>
      <c r="H13" s="111">
        <v>2124</v>
      </c>
      <c r="I13" s="111">
        <v>5069</v>
      </c>
      <c r="J13" s="111">
        <v>5070</v>
      </c>
      <c r="K13" s="87" t="s">
        <v>388</v>
      </c>
      <c r="L13" s="88">
        <v>2149</v>
      </c>
      <c r="M13" s="88">
        <v>5071</v>
      </c>
      <c r="N13" s="88">
        <v>5072</v>
      </c>
      <c r="O13" s="109" t="s">
        <v>388</v>
      </c>
      <c r="P13" s="108">
        <v>2176</v>
      </c>
      <c r="Q13" s="108">
        <v>5073</v>
      </c>
      <c r="R13" s="108">
        <v>5074</v>
      </c>
      <c r="S13" s="87" t="s">
        <v>388</v>
      </c>
      <c r="T13" s="88">
        <v>2202</v>
      </c>
      <c r="U13" s="88">
        <v>5075</v>
      </c>
      <c r="V13" s="88">
        <v>5076</v>
      </c>
    </row>
    <row r="14" spans="1:22" x14ac:dyDescent="0.25">
      <c r="B14" s="114">
        <v>8</v>
      </c>
      <c r="C14" s="103">
        <v>100000</v>
      </c>
      <c r="D14" s="103">
        <f t="shared" si="0"/>
        <v>500</v>
      </c>
      <c r="E14" s="103">
        <v>100</v>
      </c>
      <c r="F14" s="103">
        <f t="shared" si="1"/>
        <v>3.5999999999999996</v>
      </c>
      <c r="G14" s="109" t="s">
        <v>388</v>
      </c>
      <c r="H14" s="109" t="s">
        <v>388</v>
      </c>
      <c r="I14" s="111">
        <v>2132</v>
      </c>
      <c r="J14" s="111">
        <v>2219</v>
      </c>
      <c r="K14" s="87" t="s">
        <v>388</v>
      </c>
      <c r="L14" s="87" t="s">
        <v>388</v>
      </c>
      <c r="M14" s="88">
        <v>2157</v>
      </c>
      <c r="N14" s="88">
        <v>2228</v>
      </c>
      <c r="O14" s="109" t="s">
        <v>388</v>
      </c>
      <c r="P14" s="109" t="s">
        <v>388</v>
      </c>
      <c r="Q14" s="108">
        <v>2185</v>
      </c>
      <c r="R14" s="108">
        <v>2237</v>
      </c>
      <c r="S14" s="87" t="s">
        <v>388</v>
      </c>
      <c r="T14" s="87" t="s">
        <v>388</v>
      </c>
      <c r="U14" s="88">
        <v>2210</v>
      </c>
      <c r="V14" s="88">
        <v>2246</v>
      </c>
    </row>
    <row r="15" spans="1:22" x14ac:dyDescent="0.25">
      <c r="B15" s="115">
        <v>10</v>
      </c>
      <c r="C15" s="104">
        <v>150000</v>
      </c>
      <c r="D15" s="104">
        <f t="shared" si="0"/>
        <v>750</v>
      </c>
      <c r="E15" s="104">
        <v>100</v>
      </c>
      <c r="F15" s="104">
        <f t="shared" si="1"/>
        <v>2.4</v>
      </c>
      <c r="G15" s="110" t="s">
        <v>388</v>
      </c>
      <c r="H15" s="110" t="s">
        <v>388</v>
      </c>
      <c r="I15" s="112">
        <v>2133</v>
      </c>
      <c r="J15" s="112">
        <v>2220</v>
      </c>
      <c r="K15" s="89" t="s">
        <v>388</v>
      </c>
      <c r="L15" s="89" t="s">
        <v>388</v>
      </c>
      <c r="M15" s="90">
        <v>2158</v>
      </c>
      <c r="N15" s="90">
        <v>2229</v>
      </c>
      <c r="O15" s="110" t="s">
        <v>388</v>
      </c>
      <c r="P15" s="110" t="s">
        <v>388</v>
      </c>
      <c r="Q15" s="91">
        <v>2186</v>
      </c>
      <c r="R15" s="91">
        <v>2238</v>
      </c>
      <c r="S15" s="89" t="s">
        <v>388</v>
      </c>
      <c r="T15" s="89" t="s">
        <v>388</v>
      </c>
      <c r="U15" s="90">
        <v>2211</v>
      </c>
      <c r="V15" s="90">
        <v>2247</v>
      </c>
    </row>
    <row r="17" spans="2:10" x14ac:dyDescent="0.25">
      <c r="B17" s="102"/>
      <c r="C17" s="205" t="s">
        <v>395</v>
      </c>
      <c r="D17" s="206"/>
      <c r="E17" s="207"/>
      <c r="F17" s="102"/>
      <c r="G17" s="205" t="s">
        <v>396</v>
      </c>
      <c r="H17" s="206"/>
      <c r="I17" s="206"/>
      <c r="J17" s="207"/>
    </row>
    <row r="18" spans="2:10" ht="90" x14ac:dyDescent="0.25">
      <c r="B18" s="105" t="s">
        <v>397</v>
      </c>
      <c r="C18" s="105" t="s">
        <v>398</v>
      </c>
      <c r="D18" s="105" t="s">
        <v>399</v>
      </c>
      <c r="E18" s="105" t="s">
        <v>400</v>
      </c>
      <c r="F18" s="105" t="s">
        <v>401</v>
      </c>
      <c r="G18" s="107" t="s">
        <v>402</v>
      </c>
      <c r="H18" s="107" t="s">
        <v>403</v>
      </c>
      <c r="I18" s="107" t="s">
        <v>404</v>
      </c>
      <c r="J18" s="107" t="s">
        <v>405</v>
      </c>
    </row>
    <row r="19" spans="2:10" x14ac:dyDescent="0.25">
      <c r="B19" s="113">
        <v>0.75</v>
      </c>
      <c r="C19" s="103">
        <v>1000</v>
      </c>
      <c r="D19" s="103">
        <f t="shared" ref="D19:D30" si="2">C19*0.005</f>
        <v>5</v>
      </c>
      <c r="E19" s="103">
        <v>1</v>
      </c>
      <c r="F19" s="103">
        <f t="shared" ref="F19:F30" si="3">(E19)*(3600/C19)</f>
        <v>3.6</v>
      </c>
      <c r="G19" s="108">
        <v>3333</v>
      </c>
      <c r="H19" s="111">
        <v>3340</v>
      </c>
      <c r="I19" s="109" t="s">
        <v>388</v>
      </c>
      <c r="J19" s="109" t="s">
        <v>388</v>
      </c>
    </row>
    <row r="20" spans="2:10" x14ac:dyDescent="0.25">
      <c r="B20" s="113">
        <v>1</v>
      </c>
      <c r="C20" s="103">
        <v>2000</v>
      </c>
      <c r="D20" s="103">
        <f t="shared" si="2"/>
        <v>10</v>
      </c>
      <c r="E20" s="103">
        <v>10</v>
      </c>
      <c r="F20" s="103">
        <f t="shared" si="3"/>
        <v>18</v>
      </c>
      <c r="G20" s="108">
        <v>3334</v>
      </c>
      <c r="H20" s="111">
        <v>3341</v>
      </c>
      <c r="I20" s="109" t="s">
        <v>388</v>
      </c>
      <c r="J20" s="109" t="s">
        <v>388</v>
      </c>
    </row>
    <row r="21" spans="2:10" x14ac:dyDescent="0.25">
      <c r="B21" s="113">
        <v>1.25</v>
      </c>
      <c r="C21" s="103">
        <v>3000</v>
      </c>
      <c r="D21" s="103">
        <f t="shared" si="2"/>
        <v>15</v>
      </c>
      <c r="E21" s="103">
        <v>10</v>
      </c>
      <c r="F21" s="103">
        <f t="shared" si="3"/>
        <v>12</v>
      </c>
      <c r="G21" s="108">
        <v>3335</v>
      </c>
      <c r="H21" s="111">
        <v>3342</v>
      </c>
      <c r="I21" s="109" t="s">
        <v>388</v>
      </c>
      <c r="J21" s="109" t="s">
        <v>388</v>
      </c>
    </row>
    <row r="22" spans="2:10" x14ac:dyDescent="0.25">
      <c r="B22" s="113">
        <v>1.5</v>
      </c>
      <c r="C22" s="103">
        <v>4000</v>
      </c>
      <c r="D22" s="103">
        <f t="shared" si="2"/>
        <v>20</v>
      </c>
      <c r="E22" s="103">
        <v>10</v>
      </c>
      <c r="F22" s="103">
        <f t="shared" si="3"/>
        <v>9</v>
      </c>
      <c r="G22" s="108">
        <v>3336</v>
      </c>
      <c r="H22" s="111">
        <v>3343</v>
      </c>
      <c r="I22" s="111">
        <v>3349</v>
      </c>
      <c r="J22" s="111">
        <v>3358</v>
      </c>
    </row>
    <row r="23" spans="2:10" x14ac:dyDescent="0.25">
      <c r="B23" s="113">
        <v>2</v>
      </c>
      <c r="C23" s="103">
        <v>7000</v>
      </c>
      <c r="D23" s="103">
        <f t="shared" si="2"/>
        <v>35</v>
      </c>
      <c r="E23" s="103">
        <v>10</v>
      </c>
      <c r="F23" s="106">
        <f t="shared" si="3"/>
        <v>5.1428571428571423</v>
      </c>
      <c r="G23" s="108">
        <v>3337</v>
      </c>
      <c r="H23" s="111">
        <v>3344</v>
      </c>
      <c r="I23" s="111">
        <v>3350</v>
      </c>
      <c r="J23" s="111">
        <v>3359</v>
      </c>
    </row>
    <row r="24" spans="2:10" x14ac:dyDescent="0.25">
      <c r="B24" s="113">
        <v>2.5</v>
      </c>
      <c r="C24" s="103">
        <v>10000</v>
      </c>
      <c r="D24" s="103">
        <f t="shared" si="2"/>
        <v>50</v>
      </c>
      <c r="E24" s="103">
        <v>10</v>
      </c>
      <c r="F24" s="103">
        <f t="shared" si="3"/>
        <v>3.5999999999999996</v>
      </c>
      <c r="G24" s="108">
        <v>3338</v>
      </c>
      <c r="H24" s="111">
        <v>3345</v>
      </c>
      <c r="I24" s="111">
        <v>3351</v>
      </c>
      <c r="J24" s="111">
        <v>3360</v>
      </c>
    </row>
    <row r="25" spans="2:10" x14ac:dyDescent="0.25">
      <c r="B25" s="113">
        <v>3</v>
      </c>
      <c r="C25" s="103">
        <v>15000</v>
      </c>
      <c r="D25" s="103">
        <f t="shared" si="2"/>
        <v>75</v>
      </c>
      <c r="E25" s="103">
        <v>10</v>
      </c>
      <c r="F25" s="103">
        <f t="shared" si="3"/>
        <v>2.4</v>
      </c>
      <c r="G25" s="108">
        <v>3339</v>
      </c>
      <c r="H25" s="111">
        <v>3346</v>
      </c>
      <c r="I25" s="111">
        <v>3352</v>
      </c>
      <c r="J25" s="111">
        <v>3361</v>
      </c>
    </row>
    <row r="26" spans="2:10" x14ac:dyDescent="0.25">
      <c r="B26" s="113">
        <v>4</v>
      </c>
      <c r="C26" s="103">
        <v>25000</v>
      </c>
      <c r="D26" s="103">
        <f t="shared" si="2"/>
        <v>125</v>
      </c>
      <c r="E26" s="103">
        <v>100</v>
      </c>
      <c r="F26" s="103">
        <f t="shared" si="3"/>
        <v>14.399999999999999</v>
      </c>
      <c r="G26" s="109" t="s">
        <v>388</v>
      </c>
      <c r="H26" s="111">
        <v>3347</v>
      </c>
      <c r="I26" s="111">
        <v>3353</v>
      </c>
      <c r="J26" s="111">
        <v>3362</v>
      </c>
    </row>
    <row r="27" spans="2:10" x14ac:dyDescent="0.25">
      <c r="B27" s="113">
        <v>5</v>
      </c>
      <c r="C27" s="103">
        <v>40000</v>
      </c>
      <c r="D27" s="103">
        <f t="shared" si="2"/>
        <v>200</v>
      </c>
      <c r="E27" s="103">
        <v>100</v>
      </c>
      <c r="F27" s="103">
        <f t="shared" si="3"/>
        <v>9</v>
      </c>
      <c r="G27" s="109" t="s">
        <v>388</v>
      </c>
      <c r="H27" s="109" t="s">
        <v>388</v>
      </c>
      <c r="I27" s="111">
        <v>3354</v>
      </c>
      <c r="J27" s="111">
        <v>3363</v>
      </c>
    </row>
    <row r="28" spans="2:10" x14ac:dyDescent="0.25">
      <c r="B28" s="113">
        <v>6</v>
      </c>
      <c r="C28" s="103">
        <v>60000</v>
      </c>
      <c r="D28" s="103">
        <f t="shared" si="2"/>
        <v>300</v>
      </c>
      <c r="E28" s="103">
        <v>100</v>
      </c>
      <c r="F28" s="103">
        <f t="shared" si="3"/>
        <v>6</v>
      </c>
      <c r="G28" s="109" t="s">
        <v>388</v>
      </c>
      <c r="H28" s="111">
        <v>3348</v>
      </c>
      <c r="I28" s="111">
        <v>3355</v>
      </c>
      <c r="J28" s="111">
        <v>3364</v>
      </c>
    </row>
    <row r="29" spans="2:10" x14ac:dyDescent="0.25">
      <c r="B29" s="114">
        <v>8</v>
      </c>
      <c r="C29" s="103">
        <v>100000</v>
      </c>
      <c r="D29" s="103">
        <f t="shared" si="2"/>
        <v>500</v>
      </c>
      <c r="E29" s="103">
        <v>100</v>
      </c>
      <c r="F29" s="103">
        <f t="shared" si="3"/>
        <v>3.5999999999999996</v>
      </c>
      <c r="G29" s="109" t="s">
        <v>388</v>
      </c>
      <c r="H29" s="109" t="s">
        <v>388</v>
      </c>
      <c r="I29" s="111">
        <v>3356</v>
      </c>
      <c r="J29" s="111">
        <v>3365</v>
      </c>
    </row>
    <row r="30" spans="2:10" x14ac:dyDescent="0.25">
      <c r="B30" s="115">
        <v>10</v>
      </c>
      <c r="C30" s="104">
        <v>150000</v>
      </c>
      <c r="D30" s="104">
        <f t="shared" si="2"/>
        <v>750</v>
      </c>
      <c r="E30" s="104">
        <v>100</v>
      </c>
      <c r="F30" s="104">
        <f t="shared" si="3"/>
        <v>2.4</v>
      </c>
      <c r="G30" s="110" t="s">
        <v>388</v>
      </c>
      <c r="H30" s="110" t="s">
        <v>388</v>
      </c>
      <c r="I30" s="112">
        <v>3357</v>
      </c>
      <c r="J30" s="112">
        <v>3366</v>
      </c>
    </row>
  </sheetData>
  <mergeCells count="7">
    <mergeCell ref="O2:R2"/>
    <mergeCell ref="S2:V2"/>
    <mergeCell ref="C17:E17"/>
    <mergeCell ref="G17:J17"/>
    <mergeCell ref="C2:E2"/>
    <mergeCell ref="G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Model Selection</vt:lpstr>
      <vt:lpstr>Application Data</vt:lpstr>
      <vt:lpstr>Factory</vt:lpstr>
      <vt:lpstr>Reference</vt:lpstr>
      <vt:lpstr>Part Number Lookup</vt:lpstr>
      <vt:lpstr>App Code Lookup</vt:lpstr>
      <vt:lpstr>'Application Data'!Print_Area</vt:lpstr>
      <vt:lpstr>Factory!Print_Area</vt:lpstr>
      <vt:lpstr>'Model Selection'!Print_Area</vt:lpstr>
      <vt:lpstr>TEST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Elander</dc:creator>
  <cp:lastModifiedBy>Doantrang Le Tran</cp:lastModifiedBy>
  <cp:lastPrinted>2020-02-14T15:09:56Z</cp:lastPrinted>
  <dcterms:created xsi:type="dcterms:W3CDTF">2016-07-27T14:21:40Z</dcterms:created>
  <dcterms:modified xsi:type="dcterms:W3CDTF">2020-02-14T15:10:03Z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